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22800" windowHeight="12920" activeTab="1"/>
  </bookViews>
  <sheets>
    <sheet name="Series A - No Options" sheetId="1" r:id="rId1"/>
    <sheet name="Series A - Options Pre $" sheetId="2" r:id="rId2"/>
    <sheet name="Series B" sheetId="3" r:id="rId3"/>
    <sheet name="Returns-Series B 1x Preference" sheetId="4" r:id="rId4"/>
    <sheet name="Returns-Series B Participation" sheetId="5" r:id="rId5"/>
  </sheets>
  <definedNames>
    <definedName name="IQ_ADDIN" hidden="1">"AUTO"</definedName>
    <definedName name="IQ_AVG_PRICE_TARGET" hidden="1">"c82"</definedName>
    <definedName name="IQ_CH" hidden="1">110000</definedName>
    <definedName name="IQ_CONTRACTS_OTHER_COMMODITIES_EQUITIES._FDIC" hidden="1">"c6522"</definedName>
    <definedName name="IQ_CQ" hidden="1">5000</definedName>
    <definedName name="IQ_CY" hidden="1">10000</definedName>
    <definedName name="IQ_FH" hidden="1">100000</definedName>
    <definedName name="IQ_FOREIGN_BRANCHES_U.S._BANKS_LOANS_FDIC" hidden="1">"c6438"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40344.5724652778</definedName>
    <definedName name="IQ_NTM" hidden="1">6000</definedName>
    <definedName name="IQ_SHAREOUTSTANDING" hidden="1">"c83"</definedName>
    <definedName name="IQ_TODAY" hidden="1">0</definedName>
    <definedName name="IQ_TOTAL_PENSION_OBLIGATION" hidden="1">"c1292"</definedName>
    <definedName name="IQ_WEEK" hidden="1">50000</definedName>
    <definedName name="IQ_YTD" hidden="1">3000</definedName>
  </definedNames>
  <calcPr fullCalcOnLoad="1"/>
</workbook>
</file>

<file path=xl/sharedStrings.xml><?xml version="1.0" encoding="utf-8"?>
<sst xmlns="http://schemas.openxmlformats.org/spreadsheetml/2006/main" count="305" uniqueCount="58">
  <si>
    <t>Total</t>
  </si>
  <si>
    <t>Common</t>
  </si>
  <si>
    <t>Preferred</t>
  </si>
  <si>
    <t>%</t>
  </si>
  <si>
    <t>Options</t>
  </si>
  <si>
    <t>New Options</t>
  </si>
  <si>
    <t>Price / Share</t>
  </si>
  <si>
    <t>Pre-Money Valuation</t>
  </si>
  <si>
    <t>Shares</t>
  </si>
  <si>
    <t>Total $ Invested</t>
  </si>
  <si>
    <t>Pro Forma Cap Table</t>
  </si>
  <si>
    <t>Pre-Money</t>
  </si>
  <si>
    <t>Post-Money</t>
  </si>
  <si>
    <t>Series A</t>
  </si>
  <si>
    <t>Investor 1</t>
  </si>
  <si>
    <t>Investor 2</t>
  </si>
  <si>
    <t>Exit Waterfall</t>
  </si>
  <si>
    <t>Exit Value</t>
  </si>
  <si>
    <t>Liquidation Preferences</t>
  </si>
  <si>
    <t>Dividend</t>
  </si>
  <si>
    <t>Exit Date</t>
  </si>
  <si>
    <t>Date</t>
  </si>
  <si>
    <t>Per Share</t>
  </si>
  <si>
    <t>Series A Dividend</t>
  </si>
  <si>
    <t>Founders</t>
  </si>
  <si>
    <t>Options Available</t>
  </si>
  <si>
    <t>Options Granted</t>
  </si>
  <si>
    <t>Investment</t>
  </si>
  <si>
    <t>Post-Money Valuation</t>
  </si>
  <si>
    <t>Investor 3</t>
  </si>
  <si>
    <t>Series B</t>
  </si>
  <si>
    <t>Series B Dividend</t>
  </si>
  <si>
    <t>% of Proceeds</t>
  </si>
  <si>
    <t>Total Proceeds</t>
  </si>
  <si>
    <t>Series A Funding</t>
  </si>
  <si>
    <t>Series B Funding</t>
  </si>
  <si>
    <t>Start-up Capitalization</t>
  </si>
  <si>
    <t>Total Preferences</t>
  </si>
  <si>
    <t>Total Series A Preference</t>
  </si>
  <si>
    <t>NewCo Inc.</t>
  </si>
  <si>
    <t>Convert to Common?</t>
  </si>
  <si>
    <t>New Option Pool</t>
  </si>
  <si>
    <t>Multiple of Cost</t>
  </si>
  <si>
    <t>High Scenario</t>
  </si>
  <si>
    <t>Low Scenario</t>
  </si>
  <si>
    <t>Total Series B Preference</t>
  </si>
  <si>
    <t>Check if Proceeds are above Preference:</t>
  </si>
  <si>
    <t>Remaining Common Proceeds</t>
  </si>
  <si>
    <t>Common Proceeds</t>
  </si>
  <si>
    <t>Value Per Share (as-converted basis)</t>
  </si>
  <si>
    <t>Series B Full Participation</t>
  </si>
  <si>
    <t>% Preferred</t>
  </si>
  <si>
    <t>Effective Pre-Money Valuation</t>
  </si>
  <si>
    <t>Effective Post-Money Valuation</t>
  </si>
  <si>
    <t>FD</t>
  </si>
  <si>
    <t>True Pre-Money:</t>
  </si>
  <si>
    <t>Series B 1x Straight Preferred</t>
  </si>
  <si>
    <t>Series A 1x Straight Preferred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</si>
</sst>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000_);_(&quot;$&quot;* \(#,##0.0000\);_(&quot;$&quot;* &quot;-&quot;??_);_(@_)"/>
    <numFmt numFmtId="168" formatCode="&quot;$&quot;#,##0.00"/>
    <numFmt numFmtId="169" formatCode="&quot;$&quot;#,##0"/>
    <numFmt numFmtId="170" formatCode="0.0000"/>
    <numFmt numFmtId="171" formatCode="&quot;$&quot;#,##0.0000_);[Red]\(&quot;$&quot;#,##0.0000\)"/>
    <numFmt numFmtId="172" formatCode="&quot;$&quot;#,##0.000"/>
    <numFmt numFmtId="173" formatCode="&quot;$&quot;#,##0.0000"/>
    <numFmt numFmtId="174" formatCode="0&quot; x&quot;"/>
    <numFmt numFmtId="175" formatCode="_(* #,##0.0_);_(* \(#,##0.0\);_(* &quot;-&quot;?_);_(@_)"/>
    <numFmt numFmtId="176" formatCode="#.0&quot;x&quot;"/>
    <numFmt numFmtId="177" formatCode="&quot;Yes&quot;;&quot;Error&quot;;&quot;No&quot;"/>
    <numFmt numFmtId="178" formatCode="#.0&quot;x &quot;"/>
    <numFmt numFmtId="179" formatCode="_(&quot;$&quot;* #,##0.0_);_(&quot;$&quot;* \(#,##0.0\);_(&quot;$&quot;* &quot;-&quot;??_);_(@_)"/>
    <numFmt numFmtId="180" formatCode="0.0&quot;x&quot;"/>
    <numFmt numFmtId="181" formatCode="0.0&quot;x &quot;"/>
    <numFmt numFmtId="182" formatCode="_(* #,##0.0000_);_(* \(#,##0.0000\);_(* &quot;-&quot;??_);_(@_)"/>
    <numFmt numFmtId="183" formatCode="_(&quot;$&quot;* #,##0_);_(&quot;$&quot;* \(#,##0\);_(&quot;$&quot;* &quot;-&quot;?_);_(@_)"/>
    <numFmt numFmtId="184" formatCode="#,##0.000"/>
    <numFmt numFmtId="185" formatCode="0.000"/>
    <numFmt numFmtId="186" formatCode="\$#,##0"/>
    <numFmt numFmtId="187" formatCode="&quot;$&quot;#,##0.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_(* #,##0.000_);_(* \(#,##0.000\);_(* &quot;-&quot;??_);_(@_)"/>
    <numFmt numFmtId="194" formatCode="_(* #,##0.0_);_(* \(#,##0.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  <numFmt numFmtId="200" formatCode="_(* #,##0.000_);_(* \(#,##0.000\);_(* &quot;-&quot;???_);_(@_)"/>
    <numFmt numFmtId="201" formatCode="0.000%"/>
    <numFmt numFmtId="202" formatCode="_(* #,##0.00000_);_(* \(#,##0.00000\);_(* &quot;-&quot;??_);_(@_)"/>
    <numFmt numFmtId="203" formatCode="_(* #,##0.000000_);_(* \(#,##0.000000\);_(* &quot;-&quot;??_);_(@_)"/>
    <numFmt numFmtId="204" formatCode="_(* #,##0.0000_);_(* \(#,##0.0000\);_(* &quot;-&quot;????_);_(@_)"/>
    <numFmt numFmtId="205" formatCode="_(&quot;$&quot;* #,##0.000_);_(&quot;$&quot;* \(#,##0.000\);_(&quot;$&quot;* &quot;-&quot;???_);_(@_)"/>
    <numFmt numFmtId="206" formatCode="0.000000000000000%"/>
    <numFmt numFmtId="207" formatCode="0.0000%"/>
    <numFmt numFmtId="208" formatCode="&quot;$&quot;#,##0.00;[Red]&quot;$&quot;#,##0.00"/>
    <numFmt numFmtId="209" formatCode="mm/dd/yy"/>
    <numFmt numFmtId="210" formatCode="mm/dd/yy;@"/>
    <numFmt numFmtId="211" formatCode="#,##0;[Red]#,##0"/>
    <numFmt numFmtId="212" formatCode="_(&quot;$&quot;* #,##0.00000000_);_(&quot;$&quot;* \(#,##0.00000000\);_(&quot;$&quot;* &quot;-&quot;??_);_(@_)"/>
    <numFmt numFmtId="213" formatCode="_(&quot;$&quot;* #,##0.00000_);_(&quot;$&quot;* \(#,##0.00000\);_(&quot;$&quot;* &quot;-&quot;??_);_(@_)"/>
    <numFmt numFmtId="214" formatCode="&quot;$&quot;#,##0.0000000_);\(&quot;$&quot;#,##0.0000000\)"/>
    <numFmt numFmtId="215" formatCode="0.00000%"/>
    <numFmt numFmtId="216" formatCode="[$-409]dddd\,\ mmmm\ dd\,\ yyyy"/>
    <numFmt numFmtId="217" formatCode="_(&quot;$&quot;* #,##0.0000_);_(&quot;$&quot;* \(#,##0.0000\);_(&quot;$&quot;* &quot;-&quot;????_);_(@_)"/>
    <numFmt numFmtId="218" formatCode="_(&quot;$&quot;* #,##0.0_);_(&quot;$&quot;* \(#,##0.0\);_(&quot;$&quot;* &quot;-&quot;?_);_(@_)"/>
    <numFmt numFmtId="219" formatCode="_(&quot;$&quot;* #,##0.000_);_(&quot;$&quot;* \(#,##0.000\);_(&quot;$&quot;* &quot;-&quot;??_);_(@_)"/>
    <numFmt numFmtId="220" formatCode="0.0\x"/>
  </numFmts>
  <fonts count="59">
    <font>
      <sz val="10"/>
      <name val="Tahoma"/>
      <family val="0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sz val="10"/>
      <name val="Arial"/>
      <family val="0"/>
    </font>
    <font>
      <sz val="10"/>
      <name val="Verdana"/>
      <family val="2"/>
    </font>
    <font>
      <u val="single"/>
      <sz val="10"/>
      <color indexed="36"/>
      <name val="Tahoma"/>
      <family val="2"/>
    </font>
    <font>
      <u val="single"/>
      <sz val="10"/>
      <name val="Tahoma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i/>
      <sz val="10"/>
      <name val="Arial"/>
      <family val="0"/>
    </font>
    <font>
      <u val="singleAccounting"/>
      <sz val="10"/>
      <name val="Arial"/>
      <family val="2"/>
    </font>
    <font>
      <sz val="10"/>
      <color indexed="30"/>
      <name val="Arial"/>
      <family val="2"/>
    </font>
    <font>
      <i/>
      <sz val="10"/>
      <color indexed="23"/>
      <name val="Arial"/>
      <family val="2"/>
    </font>
    <font>
      <b/>
      <sz val="10"/>
      <color indexed="30"/>
      <name val="Arial"/>
      <family val="2"/>
    </font>
    <font>
      <u val="singleAccounting"/>
      <sz val="10"/>
      <color indexed="23"/>
      <name val="Arial"/>
      <family val="2"/>
    </font>
    <font>
      <u val="single"/>
      <sz val="10"/>
      <color indexed="23"/>
      <name val="Arial"/>
      <family val="2"/>
    </font>
    <font>
      <sz val="10"/>
      <color indexed="23"/>
      <name val="Arial"/>
      <family val="2"/>
    </font>
    <font>
      <i/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1"/>
      <name val="Calibri"/>
      <family val="0"/>
    </font>
    <font>
      <b/>
      <sz val="11"/>
      <color indexed="17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64" fontId="4" fillId="0" borderId="0" xfId="73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10" xfId="0" applyNumberFormat="1" applyFont="1" applyBorder="1" applyAlignment="1">
      <alignment/>
    </xf>
    <xf numFmtId="42" fontId="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37" fontId="17" fillId="0" borderId="0" xfId="0" applyNumberFormat="1" applyFont="1" applyBorder="1" applyAlignment="1">
      <alignment/>
    </xf>
    <xf numFmtId="3" fontId="4" fillId="0" borderId="0" xfId="73" applyNumberFormat="1" applyFont="1" applyBorder="1" applyAlignment="1">
      <alignment/>
    </xf>
    <xf numFmtId="164" fontId="4" fillId="0" borderId="0" xfId="73" applyNumberFormat="1" applyFont="1" applyBorder="1" applyAlignment="1">
      <alignment/>
    </xf>
    <xf numFmtId="0" fontId="4" fillId="0" borderId="0" xfId="0" applyFont="1" applyFill="1" applyBorder="1" applyAlignment="1">
      <alignment/>
    </xf>
    <xf numFmtId="9" fontId="4" fillId="0" borderId="0" xfId="73" applyFont="1" applyAlignment="1">
      <alignment/>
    </xf>
    <xf numFmtId="166" fontId="4" fillId="0" borderId="10" xfId="43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13" fillId="0" borderId="0" xfId="73" applyNumberFormat="1" applyFont="1" applyBorder="1" applyAlignment="1">
      <alignment/>
    </xf>
    <xf numFmtId="166" fontId="4" fillId="0" borderId="0" xfId="43" applyNumberFormat="1" applyFont="1" applyBorder="1" applyAlignment="1">
      <alignment/>
    </xf>
    <xf numFmtId="170" fontId="17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9" fontId="4" fillId="0" borderId="0" xfId="0" applyNumberFormat="1" applyFont="1" applyFill="1" applyAlignment="1">
      <alignment/>
    </xf>
    <xf numFmtId="169" fontId="14" fillId="0" borderId="0" xfId="0" applyNumberFormat="1" applyFont="1" applyFill="1" applyAlignment="1">
      <alignment/>
    </xf>
    <xf numFmtId="165" fontId="4" fillId="0" borderId="0" xfId="49" applyNumberFormat="1" applyFont="1" applyFill="1" applyAlignment="1">
      <alignment/>
    </xf>
    <xf numFmtId="3" fontId="4" fillId="0" borderId="0" xfId="0" applyNumberFormat="1" applyFont="1" applyAlignment="1">
      <alignment/>
    </xf>
    <xf numFmtId="166" fontId="14" fillId="0" borderId="0" xfId="43" applyNumberFormat="1" applyFont="1" applyBorder="1" applyAlignment="1">
      <alignment/>
    </xf>
    <xf numFmtId="41" fontId="1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64" fontId="4" fillId="0" borderId="10" xfId="73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73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6" fontId="4" fillId="0" borderId="11" xfId="43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5" fontId="17" fillId="0" borderId="0" xfId="49" applyNumberFormat="1" applyFont="1" applyFill="1" applyAlignment="1">
      <alignment/>
    </xf>
    <xf numFmtId="165" fontId="17" fillId="0" borderId="10" xfId="49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164" fontId="11" fillId="0" borderId="0" xfId="73" applyNumberFormat="1" applyFont="1" applyAlignment="1">
      <alignment/>
    </xf>
    <xf numFmtId="165" fontId="11" fillId="0" borderId="0" xfId="0" applyNumberFormat="1" applyFont="1" applyAlignment="1">
      <alignment/>
    </xf>
    <xf numFmtId="0" fontId="18" fillId="0" borderId="0" xfId="55" applyFont="1" applyAlignment="1">
      <alignment/>
    </xf>
    <xf numFmtId="166" fontId="18" fillId="0" borderId="0" xfId="55" applyNumberFormat="1" applyFont="1" applyAlignment="1">
      <alignment/>
    </xf>
    <xf numFmtId="165" fontId="18" fillId="0" borderId="0" xfId="55" applyNumberFormat="1" applyFont="1" applyAlignment="1">
      <alignment/>
    </xf>
    <xf numFmtId="165" fontId="16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220" fontId="4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44" fontId="4" fillId="0" borderId="0" xfId="0" applyNumberFormat="1" applyFont="1" applyBorder="1" applyAlignment="1">
      <alignment/>
    </xf>
    <xf numFmtId="44" fontId="4" fillId="0" borderId="0" xfId="0" applyNumberFormat="1" applyFont="1" applyAlignment="1">
      <alignment/>
    </xf>
    <xf numFmtId="44" fontId="4" fillId="0" borderId="0" xfId="49" applyNumberFormat="1" applyFont="1" applyFill="1" applyAlignment="1">
      <alignment/>
    </xf>
    <xf numFmtId="165" fontId="17" fillId="33" borderId="12" xfId="49" applyNumberFormat="1" applyFont="1" applyFill="1" applyBorder="1" applyAlignment="1">
      <alignment/>
    </xf>
    <xf numFmtId="37" fontId="17" fillId="33" borderId="12" xfId="0" applyNumberFormat="1" applyFont="1" applyFill="1" applyBorder="1" applyAlignment="1">
      <alignment/>
    </xf>
    <xf numFmtId="14" fontId="17" fillId="33" borderId="12" xfId="49" applyNumberFormat="1" applyFont="1" applyFill="1" applyBorder="1" applyAlignment="1">
      <alignment/>
    </xf>
    <xf numFmtId="165" fontId="19" fillId="33" borderId="12" xfId="49" applyNumberFormat="1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Continuous"/>
    </xf>
    <xf numFmtId="4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9" fontId="17" fillId="33" borderId="12" xfId="55" applyNumberFormat="1" applyFont="1" applyFill="1" applyBorder="1" applyAlignment="1">
      <alignment/>
    </xf>
    <xf numFmtId="44" fontId="20" fillId="0" borderId="0" xfId="55" applyNumberFormat="1" applyFont="1" applyBorder="1" applyAlignment="1">
      <alignment/>
    </xf>
    <xf numFmtId="0" fontId="21" fillId="0" borderId="13" xfId="55" applyFont="1" applyBorder="1" applyAlignment="1">
      <alignment horizontal="right"/>
    </xf>
    <xf numFmtId="0" fontId="21" fillId="0" borderId="11" xfId="55" applyFont="1" applyBorder="1" applyAlignment="1">
      <alignment horizontal="right"/>
    </xf>
    <xf numFmtId="0" fontId="0" fillId="0" borderId="11" xfId="0" applyFont="1" applyBorder="1" applyAlignment="1">
      <alignment/>
    </xf>
    <xf numFmtId="0" fontId="22" fillId="0" borderId="14" xfId="55" applyFont="1" applyBorder="1" applyAlignment="1">
      <alignment/>
    </xf>
    <xf numFmtId="0" fontId="22" fillId="0" borderId="15" xfId="55" applyFont="1" applyBorder="1" applyAlignment="1">
      <alignment/>
    </xf>
    <xf numFmtId="0" fontId="22" fillId="0" borderId="0" xfId="55" applyFont="1" applyBorder="1" applyAlignment="1">
      <alignment/>
    </xf>
    <xf numFmtId="44" fontId="22" fillId="0" borderId="0" xfId="55" applyNumberFormat="1" applyFont="1" applyBorder="1" applyAlignment="1">
      <alignment/>
    </xf>
    <xf numFmtId="166" fontId="22" fillId="0" borderId="0" xfId="55" applyNumberFormat="1" applyFont="1" applyBorder="1" applyAlignment="1">
      <alignment/>
    </xf>
    <xf numFmtId="165" fontId="22" fillId="0" borderId="16" xfId="55" applyNumberFormat="1" applyFont="1" applyFill="1" applyBorder="1" applyAlignment="1">
      <alignment/>
    </xf>
    <xf numFmtId="14" fontId="22" fillId="0" borderId="15" xfId="55" applyNumberFormat="1" applyFont="1" applyBorder="1" applyAlignment="1">
      <alignment/>
    </xf>
    <xf numFmtId="165" fontId="20" fillId="0" borderId="16" xfId="55" applyNumberFormat="1" applyFont="1" applyFill="1" applyBorder="1" applyAlignment="1">
      <alignment/>
    </xf>
    <xf numFmtId="165" fontId="22" fillId="0" borderId="16" xfId="55" applyNumberFormat="1" applyFont="1" applyBorder="1" applyAlignment="1">
      <alignment/>
    </xf>
    <xf numFmtId="0" fontId="18" fillId="0" borderId="17" xfId="55" applyFont="1" applyBorder="1" applyAlignment="1">
      <alignment/>
    </xf>
    <xf numFmtId="0" fontId="18" fillId="0" borderId="10" xfId="55" applyFont="1" applyBorder="1" applyAlignment="1">
      <alignment/>
    </xf>
    <xf numFmtId="0" fontId="0" fillId="0" borderId="10" xfId="0" applyBorder="1" applyAlignment="1">
      <alignment/>
    </xf>
    <xf numFmtId="166" fontId="18" fillId="0" borderId="10" xfId="55" applyNumberFormat="1" applyFont="1" applyBorder="1" applyAlignment="1">
      <alignment/>
    </xf>
    <xf numFmtId="165" fontId="18" fillId="0" borderId="18" xfId="55" applyNumberFormat="1" applyFont="1" applyBorder="1" applyAlignment="1">
      <alignment/>
    </xf>
    <xf numFmtId="0" fontId="22" fillId="0" borderId="17" xfId="55" applyFont="1" applyBorder="1" applyAlignment="1">
      <alignment/>
    </xf>
    <xf numFmtId="0" fontId="22" fillId="0" borderId="10" xfId="55" applyFont="1" applyBorder="1" applyAlignment="1">
      <alignment/>
    </xf>
    <xf numFmtId="0" fontId="0" fillId="0" borderId="10" xfId="0" applyFont="1" applyBorder="1" applyAlignment="1">
      <alignment/>
    </xf>
    <xf numFmtId="166" fontId="22" fillId="0" borderId="10" xfId="55" applyNumberFormat="1" applyFont="1" applyBorder="1" applyAlignment="1">
      <alignment/>
    </xf>
    <xf numFmtId="165" fontId="22" fillId="0" borderId="18" xfId="55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9" fillId="34" borderId="10" xfId="0" applyFont="1" applyFill="1" applyBorder="1" applyAlignment="1">
      <alignment horizontal="centerContinuous"/>
    </xf>
    <xf numFmtId="164" fontId="12" fillId="0" borderId="0" xfId="73" applyNumberFormat="1" applyFont="1" applyBorder="1" applyAlignment="1">
      <alignment/>
    </xf>
  </cellXfs>
  <cellStyles count="65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Currency 4" xfId="53"/>
    <cellStyle name="Currency 5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5" xfId="69"/>
    <cellStyle name="Normal 6" xfId="70"/>
    <cellStyle name="Note" xfId="71"/>
    <cellStyle name="Output" xfId="72"/>
    <cellStyle name="Percent" xfId="73"/>
    <cellStyle name="Percent 2" xfId="74"/>
    <cellStyle name="Percent 3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7</xdr:row>
      <xdr:rowOff>9525</xdr:rowOff>
    </xdr:from>
    <xdr:to>
      <xdr:col>11</xdr:col>
      <xdr:colOff>228600</xdr:colOff>
      <xdr:row>8</xdr:row>
      <xdr:rowOff>9525</xdr:rowOff>
    </xdr:to>
    <xdr:sp>
      <xdr:nvSpPr>
        <xdr:cNvPr id="1" name="Left Arrow 1"/>
        <xdr:cNvSpPr>
          <a:spLocks/>
        </xdr:cNvSpPr>
      </xdr:nvSpPr>
      <xdr:spPr>
        <a:xfrm>
          <a:off x="7943850" y="1304925"/>
          <a:ext cx="238125" cy="161925"/>
        </a:xfrm>
        <a:prstGeom prst="leftArrow">
          <a:avLst>
            <a:gd name="adj" fmla="val -159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133350</xdr:rowOff>
    </xdr:from>
    <xdr:to>
      <xdr:col>13</xdr:col>
      <xdr:colOff>200025</xdr:colOff>
      <xdr:row>8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267700" y="1266825"/>
          <a:ext cx="16573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rPr>
            <a:t>Founders</a:t>
          </a:r>
          <a:r>
            <a:rPr lang="en-US" cap="none" sz="11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rPr>
            <a:t> diluted by 25%</a:t>
          </a:r>
        </a:p>
      </xdr:txBody>
    </xdr:sp>
    <xdr:clientData/>
  </xdr:twoCellAnchor>
  <xdr:twoCellAnchor>
    <xdr:from>
      <xdr:col>10</xdr:col>
      <xdr:colOff>104775</xdr:colOff>
      <xdr:row>9</xdr:row>
      <xdr:rowOff>123825</xdr:rowOff>
    </xdr:from>
    <xdr:to>
      <xdr:col>11</xdr:col>
      <xdr:colOff>228600</xdr:colOff>
      <xdr:row>10</xdr:row>
      <xdr:rowOff>123825</xdr:rowOff>
    </xdr:to>
    <xdr:sp>
      <xdr:nvSpPr>
        <xdr:cNvPr id="3" name="Left Arrow 3"/>
        <xdr:cNvSpPr>
          <a:spLocks/>
        </xdr:cNvSpPr>
      </xdr:nvSpPr>
      <xdr:spPr>
        <a:xfrm>
          <a:off x="7943850" y="1743075"/>
          <a:ext cx="238125" cy="161925"/>
        </a:xfrm>
        <a:prstGeom prst="leftArrow">
          <a:avLst>
            <a:gd name="adj" fmla="val -159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314325</xdr:colOff>
      <xdr:row>9</xdr:row>
      <xdr:rowOff>95250</xdr:rowOff>
    </xdr:from>
    <xdr:to>
      <xdr:col>13</xdr:col>
      <xdr:colOff>76200</xdr:colOff>
      <xdr:row>12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267700" y="1714500"/>
          <a:ext cx="15335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6411"/>
              </a:solidFill>
            </a:rPr>
            <a:t>Investor desires 25% ownership.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8</xdr:row>
      <xdr:rowOff>133350</xdr:rowOff>
    </xdr:from>
    <xdr:to>
      <xdr:col>15</xdr:col>
      <xdr:colOff>266700</xdr:colOff>
      <xdr:row>9</xdr:row>
      <xdr:rowOff>133350</xdr:rowOff>
    </xdr:to>
    <xdr:sp>
      <xdr:nvSpPr>
        <xdr:cNvPr id="1" name="Left Arrow 1"/>
        <xdr:cNvSpPr>
          <a:spLocks/>
        </xdr:cNvSpPr>
      </xdr:nvSpPr>
      <xdr:spPr>
        <a:xfrm>
          <a:off x="11115675" y="1590675"/>
          <a:ext cx="228600" cy="161925"/>
        </a:xfrm>
        <a:prstGeom prst="leftArrow">
          <a:avLst>
            <a:gd name="adj" fmla="val -159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314325</xdr:colOff>
      <xdr:row>8</xdr:row>
      <xdr:rowOff>0</xdr:rowOff>
    </xdr:from>
    <xdr:to>
      <xdr:col>19</xdr:col>
      <xdr:colOff>695325</xdr:colOff>
      <xdr:row>10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01425" y="1457325"/>
          <a:ext cx="31337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6411"/>
              </a:solidFill>
            </a:rPr>
            <a:t>Including options in the pre-money calculation is very common in term sheets.</a:t>
          </a:r>
        </a:p>
      </xdr:txBody>
    </xdr:sp>
    <xdr:clientData/>
  </xdr:twoCellAnchor>
  <xdr:twoCellAnchor>
    <xdr:from>
      <xdr:col>11</xdr:col>
      <xdr:colOff>85725</xdr:colOff>
      <xdr:row>15</xdr:row>
      <xdr:rowOff>133350</xdr:rowOff>
    </xdr:from>
    <xdr:to>
      <xdr:col>11</xdr:col>
      <xdr:colOff>314325</xdr:colOff>
      <xdr:row>16</xdr:row>
      <xdr:rowOff>133350</xdr:rowOff>
    </xdr:to>
    <xdr:sp>
      <xdr:nvSpPr>
        <xdr:cNvPr id="3" name="Left Arrow 5"/>
        <xdr:cNvSpPr>
          <a:spLocks/>
        </xdr:cNvSpPr>
      </xdr:nvSpPr>
      <xdr:spPr>
        <a:xfrm>
          <a:off x="8420100" y="2724150"/>
          <a:ext cx="219075" cy="161925"/>
        </a:xfrm>
        <a:prstGeom prst="leftArrow">
          <a:avLst>
            <a:gd name="adj" fmla="val -159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381000</xdr:colOff>
      <xdr:row>15</xdr:row>
      <xdr:rowOff>9525</xdr:rowOff>
    </xdr:from>
    <xdr:to>
      <xdr:col>15</xdr:col>
      <xdr:colOff>762000</xdr:colOff>
      <xdr:row>19</xdr:row>
      <xdr:rowOff>9525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8715375" y="2600325"/>
          <a:ext cx="3133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6411"/>
              </a:solidFill>
            </a:rPr>
            <a:t>Note the lower price per share despite same pre-money valuation due to the new options.   This values the pre-money company prior to options at $2.4 million.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104775</xdr:colOff>
      <xdr:row>10</xdr:row>
      <xdr:rowOff>123825</xdr:rowOff>
    </xdr:from>
    <xdr:to>
      <xdr:col>25</xdr:col>
      <xdr:colOff>333375</xdr:colOff>
      <xdr:row>11</xdr:row>
      <xdr:rowOff>123825</xdr:rowOff>
    </xdr:to>
    <xdr:sp>
      <xdr:nvSpPr>
        <xdr:cNvPr id="1" name="Left Arrow 1"/>
        <xdr:cNvSpPr>
          <a:spLocks/>
        </xdr:cNvSpPr>
      </xdr:nvSpPr>
      <xdr:spPr>
        <a:xfrm>
          <a:off x="17735550" y="1905000"/>
          <a:ext cx="228600" cy="161925"/>
        </a:xfrm>
        <a:prstGeom prst="leftArrow">
          <a:avLst>
            <a:gd name="adj" fmla="val -159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25</xdr:col>
      <xdr:colOff>381000</xdr:colOff>
      <xdr:row>9</xdr:row>
      <xdr:rowOff>152400</xdr:rowOff>
    </xdr:from>
    <xdr:to>
      <xdr:col>30</xdr:col>
      <xdr:colOff>485775</xdr:colOff>
      <xdr:row>12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11775" y="1771650"/>
          <a:ext cx="31527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rPr>
            <a:t> who controls a majority of Preferred.  This is important for voting rights.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</xdr:row>
      <xdr:rowOff>9525</xdr:rowOff>
    </xdr:from>
    <xdr:to>
      <xdr:col>10</xdr:col>
      <xdr:colOff>228600</xdr:colOff>
      <xdr:row>25</xdr:row>
      <xdr:rowOff>9525</xdr:rowOff>
    </xdr:to>
    <xdr:sp>
      <xdr:nvSpPr>
        <xdr:cNvPr id="1" name="Left Arrow 1"/>
        <xdr:cNvSpPr>
          <a:spLocks/>
        </xdr:cNvSpPr>
      </xdr:nvSpPr>
      <xdr:spPr>
        <a:xfrm>
          <a:off x="7448550" y="4086225"/>
          <a:ext cx="228600" cy="161925"/>
        </a:xfrm>
        <a:prstGeom prst="leftArrow">
          <a:avLst>
            <a:gd name="adj" fmla="val -159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23</xdr:row>
      <xdr:rowOff>38100</xdr:rowOff>
    </xdr:from>
    <xdr:to>
      <xdr:col>13</xdr:col>
      <xdr:colOff>790575</xdr:colOff>
      <xdr:row>25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734300" y="3952875"/>
          <a:ext cx="31623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rPr>
            <a:t>Value</a:t>
          </a:r>
          <a:r>
            <a:rPr lang="en-US" cap="none" sz="11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rPr>
            <a:t> per share if everyone converted to comon. Note it is greater than preferences of A and B. </a:t>
          </a:r>
        </a:p>
      </xdr:txBody>
    </xdr:sp>
    <xdr:clientData/>
  </xdr:twoCellAnchor>
  <xdr:twoCellAnchor>
    <xdr:from>
      <xdr:col>18</xdr:col>
      <xdr:colOff>76200</xdr:colOff>
      <xdr:row>24</xdr:row>
      <xdr:rowOff>0</xdr:rowOff>
    </xdr:from>
    <xdr:to>
      <xdr:col>19</xdr:col>
      <xdr:colOff>219075</xdr:colOff>
      <xdr:row>25</xdr:row>
      <xdr:rowOff>0</xdr:rowOff>
    </xdr:to>
    <xdr:sp>
      <xdr:nvSpPr>
        <xdr:cNvPr id="3" name="Left Arrow 3"/>
        <xdr:cNvSpPr>
          <a:spLocks/>
        </xdr:cNvSpPr>
      </xdr:nvSpPr>
      <xdr:spPr>
        <a:xfrm>
          <a:off x="13820775" y="4076700"/>
          <a:ext cx="238125" cy="161925"/>
        </a:xfrm>
        <a:prstGeom prst="leftArrow">
          <a:avLst>
            <a:gd name="adj" fmla="val -159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28575</xdr:rowOff>
    </xdr:from>
    <xdr:to>
      <xdr:col>24</xdr:col>
      <xdr:colOff>228600</xdr:colOff>
      <xdr:row>25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106525" y="3943350"/>
          <a:ext cx="31432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rPr>
            <a:t>Lower than </a:t>
          </a:r>
          <a:r>
            <a:rPr lang="en-US" cap="none" sz="11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rPr>
            <a:t>preferences of B but higher than A.  </a:t>
          </a:r>
        </a:p>
      </xdr:txBody>
    </xdr:sp>
    <xdr:clientData/>
  </xdr:twoCellAnchor>
  <xdr:twoCellAnchor>
    <xdr:from>
      <xdr:col>19</xdr:col>
      <xdr:colOff>85725</xdr:colOff>
      <xdr:row>29</xdr:row>
      <xdr:rowOff>190500</xdr:rowOff>
    </xdr:from>
    <xdr:to>
      <xdr:col>19</xdr:col>
      <xdr:colOff>304800</xdr:colOff>
      <xdr:row>30</xdr:row>
      <xdr:rowOff>152400</xdr:rowOff>
    </xdr:to>
    <xdr:sp>
      <xdr:nvSpPr>
        <xdr:cNvPr id="5" name="Left Arrow 5"/>
        <xdr:cNvSpPr>
          <a:spLocks/>
        </xdr:cNvSpPr>
      </xdr:nvSpPr>
      <xdr:spPr>
        <a:xfrm>
          <a:off x="13925550" y="5076825"/>
          <a:ext cx="219075" cy="161925"/>
        </a:xfrm>
        <a:prstGeom prst="leftArrow">
          <a:avLst>
            <a:gd name="adj" fmla="val -159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371475</xdr:colOff>
      <xdr:row>29</xdr:row>
      <xdr:rowOff>47625</xdr:rowOff>
    </xdr:from>
    <xdr:to>
      <xdr:col>24</xdr:col>
      <xdr:colOff>333375</xdr:colOff>
      <xdr:row>31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211300" y="4933950"/>
          <a:ext cx="31432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rPr>
            <a:t>B exercises preference</a:t>
          </a:r>
          <a:r>
            <a:rPr lang="en-US" cap="none" sz="11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rPr>
            <a:t> .</a:t>
          </a:r>
        </a:p>
      </xdr:txBody>
    </xdr:sp>
    <xdr:clientData/>
  </xdr:twoCellAnchor>
  <xdr:twoCellAnchor>
    <xdr:from>
      <xdr:col>19</xdr:col>
      <xdr:colOff>85725</xdr:colOff>
      <xdr:row>35</xdr:row>
      <xdr:rowOff>9525</xdr:rowOff>
    </xdr:from>
    <xdr:to>
      <xdr:col>19</xdr:col>
      <xdr:colOff>323850</xdr:colOff>
      <xdr:row>35</xdr:row>
      <xdr:rowOff>171450</xdr:rowOff>
    </xdr:to>
    <xdr:sp>
      <xdr:nvSpPr>
        <xdr:cNvPr id="7" name="Left Arrow 7"/>
        <xdr:cNvSpPr>
          <a:spLocks/>
        </xdr:cNvSpPr>
      </xdr:nvSpPr>
      <xdr:spPr>
        <a:xfrm>
          <a:off x="13925550" y="5943600"/>
          <a:ext cx="228600" cy="161925"/>
        </a:xfrm>
        <a:prstGeom prst="leftArrow">
          <a:avLst>
            <a:gd name="adj" fmla="val -159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371475</xdr:colOff>
      <xdr:row>34</xdr:row>
      <xdr:rowOff>76200</xdr:rowOff>
    </xdr:from>
    <xdr:to>
      <xdr:col>24</xdr:col>
      <xdr:colOff>333375</xdr:colOff>
      <xdr:row>36</xdr:row>
      <xdr:rowOff>123825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4211300" y="5810250"/>
          <a:ext cx="31432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80"/>
              </a:solidFill>
            </a:rPr>
            <a:t>A converts to common.</a:t>
          </a:r>
        </a:p>
      </xdr:txBody>
    </xdr:sp>
    <xdr:clientData/>
  </xdr:twoCellAnchor>
  <xdr:twoCellAnchor>
    <xdr:from>
      <xdr:col>19</xdr:col>
      <xdr:colOff>85725</xdr:colOff>
      <xdr:row>43</xdr:row>
      <xdr:rowOff>38100</xdr:rowOff>
    </xdr:from>
    <xdr:to>
      <xdr:col>19</xdr:col>
      <xdr:colOff>304800</xdr:colOff>
      <xdr:row>44</xdr:row>
      <xdr:rowOff>38100</xdr:rowOff>
    </xdr:to>
    <xdr:sp>
      <xdr:nvSpPr>
        <xdr:cNvPr id="9" name="Left Arrow 9"/>
        <xdr:cNvSpPr>
          <a:spLocks/>
        </xdr:cNvSpPr>
      </xdr:nvSpPr>
      <xdr:spPr>
        <a:xfrm>
          <a:off x="13925550" y="7343775"/>
          <a:ext cx="219075" cy="161925"/>
        </a:xfrm>
        <a:prstGeom prst="leftArrow">
          <a:avLst>
            <a:gd name="adj" fmla="val -159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371475</xdr:colOff>
      <xdr:row>42</xdr:row>
      <xdr:rowOff>66675</xdr:rowOff>
    </xdr:from>
    <xdr:to>
      <xdr:col>24</xdr:col>
      <xdr:colOff>333375</xdr:colOff>
      <xdr:row>45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4211300" y="7210425"/>
          <a:ext cx="31432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rPr>
            <a:t>B does not participate in Common proceeds</a:t>
          </a:r>
          <a:r>
            <a:rPr lang="en-US" cap="none" sz="11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19</xdr:col>
      <xdr:colOff>85725</xdr:colOff>
      <xdr:row>57</xdr:row>
      <xdr:rowOff>66675</xdr:rowOff>
    </xdr:from>
    <xdr:to>
      <xdr:col>19</xdr:col>
      <xdr:colOff>304800</xdr:colOff>
      <xdr:row>58</xdr:row>
      <xdr:rowOff>66675</xdr:rowOff>
    </xdr:to>
    <xdr:sp>
      <xdr:nvSpPr>
        <xdr:cNvPr id="11" name="Left Arrow 11"/>
        <xdr:cNvSpPr>
          <a:spLocks/>
        </xdr:cNvSpPr>
      </xdr:nvSpPr>
      <xdr:spPr>
        <a:xfrm>
          <a:off x="13925550" y="9677400"/>
          <a:ext cx="219075" cy="161925"/>
        </a:xfrm>
        <a:prstGeom prst="leftArrow">
          <a:avLst>
            <a:gd name="adj" fmla="val -159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371475</xdr:colOff>
      <xdr:row>56</xdr:row>
      <xdr:rowOff>85725</xdr:rowOff>
    </xdr:from>
    <xdr:to>
      <xdr:col>24</xdr:col>
      <xdr:colOff>333375</xdr:colOff>
      <xdr:row>59</xdr:row>
      <xdr:rowOff>38100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4211300" y="9534525"/>
          <a:ext cx="3143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rPr>
            <a:t>Important criteria of how well the investment performed. VCs typically aim for</a:t>
          </a:r>
          <a:r>
            <a:rPr lang="en-US" cap="none" sz="11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rPr>
            <a:t> 4-10x returns.</a:t>
          </a:r>
        </a:p>
      </xdr:txBody>
    </xdr:sp>
    <xdr:clientData/>
  </xdr:twoCellAnchor>
  <xdr:twoCellAnchor>
    <xdr:from>
      <xdr:col>9</xdr:col>
      <xdr:colOff>19050</xdr:colOff>
      <xdr:row>43</xdr:row>
      <xdr:rowOff>66675</xdr:rowOff>
    </xdr:from>
    <xdr:to>
      <xdr:col>10</xdr:col>
      <xdr:colOff>152400</xdr:colOff>
      <xdr:row>44</xdr:row>
      <xdr:rowOff>66675</xdr:rowOff>
    </xdr:to>
    <xdr:sp>
      <xdr:nvSpPr>
        <xdr:cNvPr id="13" name="Left Arrow 13"/>
        <xdr:cNvSpPr>
          <a:spLocks/>
        </xdr:cNvSpPr>
      </xdr:nvSpPr>
      <xdr:spPr>
        <a:xfrm>
          <a:off x="7372350" y="7372350"/>
          <a:ext cx="228600" cy="161925"/>
        </a:xfrm>
        <a:prstGeom prst="leftArrow">
          <a:avLst>
            <a:gd name="adj" fmla="val -159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200025</xdr:colOff>
      <xdr:row>42</xdr:row>
      <xdr:rowOff>95250</xdr:rowOff>
    </xdr:from>
    <xdr:to>
      <xdr:col>13</xdr:col>
      <xdr:colOff>695325</xdr:colOff>
      <xdr:row>45</xdr:row>
      <xdr:rowOff>47625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7648575" y="7239000"/>
          <a:ext cx="3152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rPr>
            <a:t>A/B</a:t>
          </a:r>
          <a:r>
            <a:rPr lang="en-US" cap="none" sz="11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rPr>
            <a:t> convert to common and participate in Common proceeds.</a:t>
          </a:r>
        </a:p>
      </xdr:txBody>
    </xdr:sp>
    <xdr:clientData/>
  </xdr:twoCellAnchor>
  <xdr:twoCellAnchor>
    <xdr:from>
      <xdr:col>19</xdr:col>
      <xdr:colOff>85725</xdr:colOff>
      <xdr:row>61</xdr:row>
      <xdr:rowOff>152400</xdr:rowOff>
    </xdr:from>
    <xdr:to>
      <xdr:col>19</xdr:col>
      <xdr:colOff>304800</xdr:colOff>
      <xdr:row>62</xdr:row>
      <xdr:rowOff>152400</xdr:rowOff>
    </xdr:to>
    <xdr:sp>
      <xdr:nvSpPr>
        <xdr:cNvPr id="15" name="Left Arrow 15"/>
        <xdr:cNvSpPr>
          <a:spLocks/>
        </xdr:cNvSpPr>
      </xdr:nvSpPr>
      <xdr:spPr>
        <a:xfrm>
          <a:off x="13925550" y="10410825"/>
          <a:ext cx="219075" cy="161925"/>
        </a:xfrm>
        <a:prstGeom prst="leftArrow">
          <a:avLst>
            <a:gd name="adj" fmla="val -159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371475</xdr:colOff>
      <xdr:row>61</xdr:row>
      <xdr:rowOff>28575</xdr:rowOff>
    </xdr:from>
    <xdr:to>
      <xdr:col>24</xdr:col>
      <xdr:colOff>333375</xdr:colOff>
      <xdr:row>63</xdr:row>
      <xdr:rowOff>133350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4211300" y="10287000"/>
          <a:ext cx="31432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80"/>
              </a:solidFill>
            </a:rPr>
            <a:t>Important check to make sure investor proceeds are greater than or equal to their preferences.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43</xdr:row>
      <xdr:rowOff>47625</xdr:rowOff>
    </xdr:from>
    <xdr:to>
      <xdr:col>10</xdr:col>
      <xdr:colOff>219075</xdr:colOff>
      <xdr:row>44</xdr:row>
      <xdr:rowOff>47625</xdr:rowOff>
    </xdr:to>
    <xdr:sp>
      <xdr:nvSpPr>
        <xdr:cNvPr id="1" name="Left Arrow 1"/>
        <xdr:cNvSpPr>
          <a:spLocks/>
        </xdr:cNvSpPr>
      </xdr:nvSpPr>
      <xdr:spPr>
        <a:xfrm>
          <a:off x="7429500" y="7353300"/>
          <a:ext cx="238125" cy="161925"/>
        </a:xfrm>
        <a:prstGeom prst="leftArrow">
          <a:avLst>
            <a:gd name="adj" fmla="val -159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266700</xdr:colOff>
      <xdr:row>42</xdr:row>
      <xdr:rowOff>76200</xdr:rowOff>
    </xdr:from>
    <xdr:to>
      <xdr:col>13</xdr:col>
      <xdr:colOff>762000</xdr:colOff>
      <xdr:row>45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715250" y="7219950"/>
          <a:ext cx="3152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rPr>
            <a:t>Investor receives preference</a:t>
          </a:r>
          <a:r>
            <a:rPr lang="en-US" cap="none" sz="11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rPr>
            <a:t> and participates in Common, effectively </a:t>
          </a:r>
          <a:r>
            <a:rPr lang="en-US" cap="none" sz="11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rPr>
            <a:t>"double dipping".</a:t>
          </a:r>
        </a:p>
      </xdr:txBody>
    </xdr:sp>
    <xdr:clientData/>
  </xdr:twoCellAnchor>
  <xdr:twoCellAnchor>
    <xdr:from>
      <xdr:col>9</xdr:col>
      <xdr:colOff>76200</xdr:colOff>
      <xdr:row>50</xdr:row>
      <xdr:rowOff>0</xdr:rowOff>
    </xdr:from>
    <xdr:to>
      <xdr:col>10</xdr:col>
      <xdr:colOff>219075</xdr:colOff>
      <xdr:row>51</xdr:row>
      <xdr:rowOff>0</xdr:rowOff>
    </xdr:to>
    <xdr:sp>
      <xdr:nvSpPr>
        <xdr:cNvPr id="3" name="Left Arrow 3"/>
        <xdr:cNvSpPr>
          <a:spLocks/>
        </xdr:cNvSpPr>
      </xdr:nvSpPr>
      <xdr:spPr>
        <a:xfrm>
          <a:off x="7429500" y="8439150"/>
          <a:ext cx="238125" cy="161925"/>
        </a:xfrm>
        <a:prstGeom prst="leftArrow">
          <a:avLst>
            <a:gd name="adj" fmla="val -159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266700</xdr:colOff>
      <xdr:row>49</xdr:row>
      <xdr:rowOff>85725</xdr:rowOff>
    </xdr:from>
    <xdr:to>
      <xdr:col>13</xdr:col>
      <xdr:colOff>762000</xdr:colOff>
      <xdr:row>61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715250" y="8362950"/>
          <a:ext cx="31527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rPr>
            <a:t>Percentage of proceeds is an important way investors look at ownership.
</a:t>
          </a:r>
          <a:r>
            <a:rPr lang="en-US" cap="none" sz="11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rPr>
            <a:t>In a big exit, participation doesnt matter as much. The smaller the exit, the more effect participation has.
</a:t>
          </a:r>
          <a:r>
            <a:rPr lang="en-US" cap="none" sz="11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2"/>
  <sheetViews>
    <sheetView showGridLines="0" zoomScaleSheetLayoutView="130" workbookViewId="0" topLeftCell="A1">
      <selection activeCell="G11" sqref="G11"/>
    </sheetView>
  </sheetViews>
  <sheetFormatPr defaultColWidth="9.140625" defaultRowHeight="12.75"/>
  <cols>
    <col min="1" max="1" width="2.421875" style="3" customWidth="1"/>
    <col min="2" max="2" width="31.00390625" style="3" customWidth="1"/>
    <col min="3" max="3" width="12.421875" style="3" customWidth="1"/>
    <col min="4" max="5" width="11.8515625" style="3" customWidth="1"/>
    <col min="6" max="6" width="1.7109375" style="0" customWidth="1"/>
    <col min="7" max="7" width="11.8515625" style="3" customWidth="1"/>
    <col min="8" max="8" width="13.8515625" style="3" customWidth="1"/>
    <col min="9" max="9" width="13.28125" style="3" customWidth="1"/>
    <col min="10" max="10" width="7.28125" style="0" bestFit="1" customWidth="1"/>
    <col min="11" max="11" width="1.7109375" style="0" customWidth="1"/>
    <col min="12" max="14" width="13.28125" style="3" customWidth="1"/>
    <col min="15" max="15" width="1.421875" style="0" customWidth="1"/>
    <col min="16" max="18" width="13.28125" style="3" customWidth="1"/>
    <col min="19" max="19" width="1.421875" style="0" customWidth="1"/>
    <col min="20" max="21" width="13.421875" style="3" customWidth="1"/>
    <col min="22" max="22" width="10.28125" style="3" bestFit="1" customWidth="1"/>
    <col min="23" max="16384" width="9.140625" style="3" customWidth="1"/>
  </cols>
  <sheetData>
    <row r="2" ht="18">
      <c r="B2" s="4" t="s">
        <v>39</v>
      </c>
    </row>
    <row r="3" spans="2:20" ht="18">
      <c r="B3" s="5"/>
      <c r="C3" s="5"/>
      <c r="D3" s="5"/>
      <c r="E3" s="5"/>
      <c r="G3" s="5"/>
      <c r="H3" s="5"/>
      <c r="I3" s="5"/>
      <c r="L3" s="5"/>
      <c r="M3" s="5"/>
      <c r="N3" s="5"/>
      <c r="P3" s="5"/>
      <c r="Q3" s="5"/>
      <c r="R3" s="5"/>
      <c r="T3" s="5"/>
    </row>
    <row r="4" spans="2:13" ht="15">
      <c r="B4" s="13" t="s">
        <v>10</v>
      </c>
      <c r="C4" s="12"/>
      <c r="H4" s="14"/>
      <c r="M4" s="14"/>
    </row>
    <row r="5" spans="2:23" ht="12.75">
      <c r="B5" s="73" t="s">
        <v>36</v>
      </c>
      <c r="C5" s="73"/>
      <c r="D5" s="73"/>
      <c r="E5" s="73"/>
      <c r="G5" s="106" t="s">
        <v>34</v>
      </c>
      <c r="H5" s="73"/>
      <c r="I5" s="73"/>
      <c r="J5" s="73"/>
      <c r="L5"/>
      <c r="M5"/>
      <c r="N5"/>
      <c r="P5"/>
      <c r="Q5"/>
      <c r="R5"/>
      <c r="T5"/>
      <c r="U5"/>
      <c r="V5"/>
      <c r="W5"/>
    </row>
    <row r="6" spans="2:23" ht="12.75">
      <c r="B6" s="14"/>
      <c r="C6" s="15"/>
      <c r="D6" s="15"/>
      <c r="E6" s="15"/>
      <c r="G6" s="15" t="s">
        <v>13</v>
      </c>
      <c r="H6" s="15" t="s">
        <v>13</v>
      </c>
      <c r="I6" s="15" t="s">
        <v>12</v>
      </c>
      <c r="J6" s="15" t="s">
        <v>54</v>
      </c>
      <c r="L6"/>
      <c r="M6"/>
      <c r="N6"/>
      <c r="P6"/>
      <c r="Q6"/>
      <c r="R6"/>
      <c r="T6"/>
      <c r="U6"/>
      <c r="V6"/>
      <c r="W6"/>
    </row>
    <row r="7" spans="2:23" ht="12.75">
      <c r="B7" s="16"/>
      <c r="C7" s="17" t="s">
        <v>1</v>
      </c>
      <c r="D7" s="17" t="s">
        <v>0</v>
      </c>
      <c r="E7" s="17" t="s">
        <v>3</v>
      </c>
      <c r="G7" s="17" t="s">
        <v>27</v>
      </c>
      <c r="H7" s="17" t="s">
        <v>2</v>
      </c>
      <c r="I7" s="17" t="s">
        <v>0</v>
      </c>
      <c r="J7" s="18" t="s">
        <v>3</v>
      </c>
      <c r="L7"/>
      <c r="M7"/>
      <c r="N7"/>
      <c r="P7"/>
      <c r="Q7"/>
      <c r="R7"/>
      <c r="T7"/>
      <c r="U7"/>
      <c r="V7"/>
      <c r="W7"/>
    </row>
    <row r="8" spans="2:23" s="6" customFormat="1" ht="12.75">
      <c r="B8" s="6" t="s">
        <v>24</v>
      </c>
      <c r="C8" s="68">
        <v>1000000</v>
      </c>
      <c r="D8" s="7">
        <f aca="true" t="shared" si="0" ref="D8:D13">SUM(C8:C8)</f>
        <v>1000000</v>
      </c>
      <c r="E8" s="21">
        <f aca="true" t="shared" si="1" ref="E8:E13">+D8/$D$14</f>
        <v>1</v>
      </c>
      <c r="F8"/>
      <c r="G8" s="21"/>
      <c r="H8" s="35"/>
      <c r="I8" s="28">
        <f aca="true" t="shared" si="2" ref="I8:I13">D8+H8</f>
        <v>1000000</v>
      </c>
      <c r="J8" s="21">
        <f aca="true" t="shared" si="3" ref="J8:J13">+I8/$I$14</f>
        <v>0.75</v>
      </c>
      <c r="K8"/>
      <c r="L8"/>
      <c r="M8"/>
      <c r="N8"/>
      <c r="O8"/>
      <c r="P8"/>
      <c r="Q8"/>
      <c r="R8"/>
      <c r="S8"/>
      <c r="T8"/>
      <c r="U8"/>
      <c r="V8"/>
      <c r="W8"/>
    </row>
    <row r="9" spans="2:23" s="6" customFormat="1" ht="12.75">
      <c r="B9" s="22" t="s">
        <v>26</v>
      </c>
      <c r="C9" s="19"/>
      <c r="D9" s="7">
        <f t="shared" si="0"/>
        <v>0</v>
      </c>
      <c r="E9" s="21">
        <f t="shared" si="1"/>
        <v>0</v>
      </c>
      <c r="F9"/>
      <c r="G9" s="21"/>
      <c r="H9" s="35"/>
      <c r="I9" s="28">
        <f t="shared" si="2"/>
        <v>0</v>
      </c>
      <c r="J9" s="21">
        <f t="shared" si="3"/>
        <v>0</v>
      </c>
      <c r="K9"/>
      <c r="L9"/>
      <c r="M9"/>
      <c r="N9"/>
      <c r="O9"/>
      <c r="P9"/>
      <c r="Q9"/>
      <c r="R9"/>
      <c r="S9"/>
      <c r="T9"/>
      <c r="U9"/>
      <c r="V9"/>
      <c r="W9"/>
    </row>
    <row r="10" spans="2:23" s="6" customFormat="1" ht="12.75">
      <c r="B10" s="22" t="s">
        <v>25</v>
      </c>
      <c r="C10" s="58"/>
      <c r="D10" s="7">
        <f t="shared" si="0"/>
        <v>0</v>
      </c>
      <c r="E10" s="21">
        <f t="shared" si="1"/>
        <v>0</v>
      </c>
      <c r="F10"/>
      <c r="G10" s="21"/>
      <c r="H10" s="36"/>
      <c r="I10" s="28">
        <f t="shared" si="2"/>
        <v>0</v>
      </c>
      <c r="J10" s="21">
        <f t="shared" si="3"/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2:23" s="6" customFormat="1" ht="12.75">
      <c r="B11" s="22" t="s">
        <v>14</v>
      </c>
      <c r="C11" s="58"/>
      <c r="D11" s="7">
        <f t="shared" si="0"/>
        <v>0</v>
      </c>
      <c r="E11" s="21">
        <f t="shared" si="1"/>
        <v>0</v>
      </c>
      <c r="F11"/>
      <c r="G11" s="67">
        <v>1000000</v>
      </c>
      <c r="H11" s="37">
        <f>G11/$G$17</f>
        <v>333333.3333333333</v>
      </c>
      <c r="I11" s="28">
        <f t="shared" si="2"/>
        <v>333333.3333333333</v>
      </c>
      <c r="J11" s="107">
        <f t="shared" si="3"/>
        <v>0.25</v>
      </c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2:23" s="6" customFormat="1" ht="12.75">
      <c r="B12" s="22" t="s">
        <v>15</v>
      </c>
      <c r="C12" s="58"/>
      <c r="D12" s="7">
        <f t="shared" si="0"/>
        <v>0</v>
      </c>
      <c r="E12" s="21">
        <f t="shared" si="1"/>
        <v>0</v>
      </c>
      <c r="F12"/>
      <c r="G12" s="44">
        <v>0</v>
      </c>
      <c r="H12" s="37">
        <f>G12/$G$17</f>
        <v>0</v>
      </c>
      <c r="I12" s="28">
        <f t="shared" si="2"/>
        <v>0</v>
      </c>
      <c r="J12" s="21">
        <f t="shared" si="3"/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2:23" s="6" customFormat="1" ht="12.75">
      <c r="B13" s="59" t="s">
        <v>29</v>
      </c>
      <c r="C13" s="72"/>
      <c r="D13" s="11">
        <f t="shared" si="0"/>
        <v>0</v>
      </c>
      <c r="E13" s="38">
        <f t="shared" si="1"/>
        <v>0</v>
      </c>
      <c r="F13"/>
      <c r="G13" s="45">
        <v>0</v>
      </c>
      <c r="H13" s="37">
        <f>G13/$G$17</f>
        <v>0</v>
      </c>
      <c r="I13" s="24">
        <f t="shared" si="2"/>
        <v>0</v>
      </c>
      <c r="J13" s="21">
        <f t="shared" si="3"/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2:23" s="6" customFormat="1" ht="12.75">
      <c r="B14" s="6" t="s">
        <v>0</v>
      </c>
      <c r="C14" s="25">
        <f>SUM(C8:C13)</f>
        <v>1000000</v>
      </c>
      <c r="D14" s="7">
        <f>SUM(D8:D13)</f>
        <v>1000000</v>
      </c>
      <c r="E14" s="21">
        <f>SUM(E8:E13)</f>
        <v>1</v>
      </c>
      <c r="F14"/>
      <c r="G14" s="33">
        <f>SUM(G8:G13)</f>
        <v>1000000</v>
      </c>
      <c r="H14" s="42">
        <f>SUM(H8:H13)</f>
        <v>333333.3333333333</v>
      </c>
      <c r="I14" s="28">
        <f>SUM(I8:I13)</f>
        <v>1333333.3333333333</v>
      </c>
      <c r="J14" s="43">
        <f>SUM(J8:J13)</f>
        <v>1</v>
      </c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3:23" ht="12.75">
      <c r="C15" s="7"/>
      <c r="D15" s="7"/>
      <c r="E15" s="7"/>
      <c r="G15" s="23"/>
      <c r="H15" s="10"/>
      <c r="I15" s="27"/>
      <c r="J15" s="7"/>
      <c r="P15"/>
      <c r="Q15"/>
      <c r="R15"/>
      <c r="T15"/>
      <c r="U15"/>
      <c r="V15"/>
      <c r="W15"/>
    </row>
    <row r="16" spans="2:23" ht="12.75">
      <c r="B16" s="3" t="s">
        <v>7</v>
      </c>
      <c r="G16" s="67">
        <v>3000000</v>
      </c>
      <c r="J16" s="3"/>
      <c r="P16"/>
      <c r="Q16"/>
      <c r="R16"/>
      <c r="T16"/>
      <c r="U16"/>
      <c r="V16"/>
      <c r="W16"/>
    </row>
    <row r="17" spans="2:23" ht="12.75">
      <c r="B17" s="3" t="s">
        <v>6</v>
      </c>
      <c r="D17" s="29"/>
      <c r="E17" s="29"/>
      <c r="G17" s="64">
        <f>G16/D14</f>
        <v>3</v>
      </c>
      <c r="H17" s="65"/>
      <c r="I17" s="65"/>
      <c r="J17" s="65"/>
      <c r="P17"/>
      <c r="Q17"/>
      <c r="R17"/>
      <c r="T17"/>
      <c r="U17"/>
      <c r="V17"/>
      <c r="W17"/>
    </row>
    <row r="18" spans="2:23" ht="12.75">
      <c r="B18" s="3" t="s">
        <v>9</v>
      </c>
      <c r="D18" s="31"/>
      <c r="E18" s="31"/>
      <c r="G18" s="33">
        <f>G14</f>
        <v>1000000</v>
      </c>
      <c r="J18" s="3"/>
      <c r="P18"/>
      <c r="Q18"/>
      <c r="R18"/>
      <c r="T18"/>
      <c r="U18"/>
      <c r="V18"/>
      <c r="W18"/>
    </row>
    <row r="19" spans="2:23" ht="12.75">
      <c r="B19" s="3" t="s">
        <v>28</v>
      </c>
      <c r="D19" s="31"/>
      <c r="E19" s="31"/>
      <c r="G19" s="33">
        <f>G16+G18</f>
        <v>4000000</v>
      </c>
      <c r="J19" s="3"/>
      <c r="P19"/>
      <c r="Q19"/>
      <c r="R19"/>
      <c r="T19"/>
      <c r="U19"/>
      <c r="V19"/>
      <c r="W19"/>
    </row>
    <row r="20" spans="2:23" ht="12.75">
      <c r="B20" s="3" t="s">
        <v>21</v>
      </c>
      <c r="D20" s="31"/>
      <c r="E20" s="31"/>
      <c r="G20" s="69">
        <v>39994</v>
      </c>
      <c r="J20" s="3"/>
      <c r="P20"/>
      <c r="Q20"/>
      <c r="R20"/>
      <c r="T20"/>
      <c r="U20"/>
      <c r="V20"/>
      <c r="W20"/>
    </row>
    <row r="21" spans="7:18" ht="12.75">
      <c r="G21" s="33"/>
      <c r="H21" s="34"/>
      <c r="I21" s="34"/>
      <c r="L21" s="34"/>
      <c r="M21" s="34"/>
      <c r="N21" s="34"/>
      <c r="P21" s="34"/>
      <c r="Q21" s="34"/>
      <c r="R21" s="34"/>
    </row>
    <row r="22" ht="12.75">
      <c r="G22" s="46"/>
    </row>
  </sheetData>
  <sheetProtection/>
  <printOptions/>
  <pageMargins left="0.5" right="0.5" top="0.5" bottom="0.5" header="0.5" footer="0.5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1"/>
  <sheetViews>
    <sheetView showGridLines="0" tabSelected="1" zoomScaleSheetLayoutView="13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28" sqref="M28"/>
    </sheetView>
  </sheetViews>
  <sheetFormatPr defaultColWidth="9.140625" defaultRowHeight="12.75"/>
  <cols>
    <col min="1" max="1" width="2.421875" style="3" customWidth="1"/>
    <col min="2" max="2" width="31.00390625" style="3" customWidth="1"/>
    <col min="3" max="3" width="12.421875" style="3" customWidth="1"/>
    <col min="4" max="5" width="11.8515625" style="3" customWidth="1"/>
    <col min="6" max="6" width="1.7109375" style="0" customWidth="1"/>
    <col min="7" max="7" width="11.8515625" style="3" customWidth="1"/>
    <col min="8" max="8" width="13.8515625" style="3" customWidth="1"/>
    <col min="9" max="9" width="13.28125" style="3" customWidth="1"/>
    <col min="10" max="10" width="1.421875" style="0" customWidth="1"/>
    <col min="11" max="14" width="13.28125" style="3" customWidth="1"/>
    <col min="15" max="15" width="1.421875" style="0" customWidth="1"/>
    <col min="16" max="18" width="13.28125" style="3" customWidth="1"/>
    <col min="19" max="19" width="1.421875" style="0" customWidth="1"/>
    <col min="20" max="21" width="13.421875" style="3" customWidth="1"/>
    <col min="22" max="22" width="10.28125" style="3" bestFit="1" customWidth="1"/>
    <col min="23" max="16384" width="9.140625" style="3" customWidth="1"/>
  </cols>
  <sheetData>
    <row r="2" ht="18">
      <c r="B2" s="4" t="s">
        <v>39</v>
      </c>
    </row>
    <row r="3" spans="2:20" ht="18">
      <c r="B3" s="5"/>
      <c r="C3" s="5"/>
      <c r="D3" s="5"/>
      <c r="E3" s="5"/>
      <c r="G3" s="5"/>
      <c r="H3" s="5"/>
      <c r="I3" s="5"/>
      <c r="K3" s="5"/>
      <c r="L3" s="5"/>
      <c r="M3" s="5"/>
      <c r="N3" s="5"/>
      <c r="P3" s="5"/>
      <c r="Q3" s="5"/>
      <c r="R3" s="5"/>
      <c r="T3" s="5"/>
    </row>
    <row r="4" spans="2:13" ht="15">
      <c r="B4" s="13" t="s">
        <v>10</v>
      </c>
      <c r="C4" s="12"/>
      <c r="H4" s="14"/>
      <c r="M4" s="14"/>
    </row>
    <row r="5" spans="2:23" ht="12.75">
      <c r="B5" s="73" t="s">
        <v>36</v>
      </c>
      <c r="C5" s="73"/>
      <c r="D5" s="73"/>
      <c r="E5" s="73"/>
      <c r="G5" s="106" t="s">
        <v>41</v>
      </c>
      <c r="H5" s="73"/>
      <c r="I5" s="73"/>
      <c r="K5" s="106" t="s">
        <v>34</v>
      </c>
      <c r="L5" s="73"/>
      <c r="M5" s="73"/>
      <c r="N5" s="73"/>
      <c r="P5"/>
      <c r="Q5"/>
      <c r="R5"/>
      <c r="T5"/>
      <c r="U5"/>
      <c r="V5"/>
      <c r="W5"/>
    </row>
    <row r="6" spans="2:23" ht="12.75">
      <c r="B6" s="14"/>
      <c r="C6" s="15"/>
      <c r="D6" s="15"/>
      <c r="E6" s="15"/>
      <c r="H6" s="15" t="s">
        <v>11</v>
      </c>
      <c r="I6" s="15"/>
      <c r="K6" s="15" t="s">
        <v>13</v>
      </c>
      <c r="L6" s="15" t="s">
        <v>13</v>
      </c>
      <c r="M6" s="15" t="s">
        <v>12</v>
      </c>
      <c r="N6" s="15" t="s">
        <v>54</v>
      </c>
      <c r="P6"/>
      <c r="Q6"/>
      <c r="R6"/>
      <c r="T6"/>
      <c r="U6"/>
      <c r="V6"/>
      <c r="W6"/>
    </row>
    <row r="7" spans="2:23" ht="12.75">
      <c r="B7" s="16"/>
      <c r="C7" s="17" t="s">
        <v>1</v>
      </c>
      <c r="D7" s="17" t="s">
        <v>0</v>
      </c>
      <c r="E7" s="17" t="s">
        <v>3</v>
      </c>
      <c r="G7" s="17" t="s">
        <v>5</v>
      </c>
      <c r="H7" s="17" t="s">
        <v>0</v>
      </c>
      <c r="I7" s="17" t="s">
        <v>3</v>
      </c>
      <c r="K7" s="17" t="s">
        <v>27</v>
      </c>
      <c r="L7" s="17" t="s">
        <v>2</v>
      </c>
      <c r="M7" s="17" t="s">
        <v>0</v>
      </c>
      <c r="N7" s="18" t="s">
        <v>3</v>
      </c>
      <c r="P7"/>
      <c r="Q7"/>
      <c r="R7"/>
      <c r="T7"/>
      <c r="U7"/>
      <c r="V7"/>
      <c r="W7"/>
    </row>
    <row r="8" spans="2:23" s="6" customFormat="1" ht="12.75">
      <c r="B8" s="6" t="s">
        <v>24</v>
      </c>
      <c r="C8" s="68">
        <v>1000000</v>
      </c>
      <c r="D8" s="7">
        <f aca="true" t="shared" si="0" ref="D8:D13">SUM(C8:C8)</f>
        <v>1000000</v>
      </c>
      <c r="E8" s="21">
        <f aca="true" t="shared" si="1" ref="E8:E13">+D8/$D$14</f>
        <v>1</v>
      </c>
      <c r="F8"/>
      <c r="G8" s="20"/>
      <c r="H8" s="20">
        <f aca="true" t="shared" si="2" ref="H8:H13">G8+D8</f>
        <v>1000000</v>
      </c>
      <c r="I8" s="21">
        <f aca="true" t="shared" si="3" ref="I8:I13">H8/$H$14</f>
        <v>0.8</v>
      </c>
      <c r="J8"/>
      <c r="K8" s="21"/>
      <c r="L8" s="35"/>
      <c r="M8" s="28">
        <f aca="true" t="shared" si="4" ref="M8:M13">H8+L8</f>
        <v>1000000</v>
      </c>
      <c r="N8" s="21">
        <f aca="true" t="shared" si="5" ref="N8:N13">+M8/$M$14</f>
        <v>0.6</v>
      </c>
      <c r="O8"/>
      <c r="P8"/>
      <c r="Q8"/>
      <c r="R8"/>
      <c r="S8"/>
      <c r="T8"/>
      <c r="U8"/>
      <c r="V8"/>
      <c r="W8"/>
    </row>
    <row r="9" spans="2:23" s="6" customFormat="1" ht="12.75">
      <c r="B9" s="22" t="s">
        <v>26</v>
      </c>
      <c r="C9" s="19"/>
      <c r="D9" s="7">
        <f t="shared" si="0"/>
        <v>0</v>
      </c>
      <c r="E9" s="21">
        <f t="shared" si="1"/>
        <v>0</v>
      </c>
      <c r="F9"/>
      <c r="G9" s="20"/>
      <c r="H9" s="20">
        <f t="shared" si="2"/>
        <v>0</v>
      </c>
      <c r="I9" s="21">
        <f t="shared" si="3"/>
        <v>0</v>
      </c>
      <c r="J9"/>
      <c r="K9" s="21"/>
      <c r="L9" s="35"/>
      <c r="M9" s="28">
        <f t="shared" si="4"/>
        <v>0</v>
      </c>
      <c r="N9" s="21">
        <f t="shared" si="5"/>
        <v>0</v>
      </c>
      <c r="O9"/>
      <c r="P9"/>
      <c r="Q9"/>
      <c r="R9"/>
      <c r="S9"/>
      <c r="T9"/>
      <c r="U9"/>
      <c r="V9"/>
      <c r="W9"/>
    </row>
    <row r="10" spans="2:23" s="6" customFormat="1" ht="12.75">
      <c r="B10" s="22" t="s">
        <v>25</v>
      </c>
      <c r="C10" s="58"/>
      <c r="D10" s="7">
        <f t="shared" si="0"/>
        <v>0</v>
      </c>
      <c r="E10" s="21">
        <f t="shared" si="1"/>
        <v>0</v>
      </c>
      <c r="F10"/>
      <c r="G10" s="68">
        <v>250000</v>
      </c>
      <c r="H10" s="20">
        <f t="shared" si="2"/>
        <v>250000</v>
      </c>
      <c r="I10" s="21">
        <f t="shared" si="3"/>
        <v>0.2</v>
      </c>
      <c r="J10"/>
      <c r="K10" s="21"/>
      <c r="L10" s="36"/>
      <c r="M10" s="28">
        <f t="shared" si="4"/>
        <v>250000</v>
      </c>
      <c r="N10" s="107">
        <f t="shared" si="5"/>
        <v>0.15</v>
      </c>
      <c r="O10"/>
      <c r="P10"/>
      <c r="Q10"/>
      <c r="R10"/>
      <c r="S10"/>
      <c r="T10"/>
      <c r="U10"/>
      <c r="V10"/>
      <c r="W10"/>
    </row>
    <row r="11" spans="2:23" s="6" customFormat="1" ht="12.75">
      <c r="B11" s="22" t="s">
        <v>14</v>
      </c>
      <c r="C11" s="58"/>
      <c r="D11" s="7">
        <f t="shared" si="0"/>
        <v>0</v>
      </c>
      <c r="E11" s="21">
        <f t="shared" si="1"/>
        <v>0</v>
      </c>
      <c r="F11"/>
      <c r="G11" s="20"/>
      <c r="H11" s="20">
        <f t="shared" si="2"/>
        <v>0</v>
      </c>
      <c r="I11" s="21">
        <f t="shared" si="3"/>
        <v>0</v>
      </c>
      <c r="J11"/>
      <c r="K11" s="67">
        <v>1000000</v>
      </c>
      <c r="L11" s="37">
        <f>K11/$K$17</f>
        <v>416666.6666666667</v>
      </c>
      <c r="M11" s="28">
        <f t="shared" si="4"/>
        <v>416666.6666666667</v>
      </c>
      <c r="N11" s="21">
        <f t="shared" si="5"/>
        <v>0.25</v>
      </c>
      <c r="O11"/>
      <c r="P11"/>
      <c r="Q11"/>
      <c r="R11"/>
      <c r="S11"/>
      <c r="T11"/>
      <c r="U11"/>
      <c r="V11"/>
      <c r="W11"/>
    </row>
    <row r="12" spans="2:23" s="6" customFormat="1" ht="12.75">
      <c r="B12" s="22" t="s">
        <v>15</v>
      </c>
      <c r="C12" s="58"/>
      <c r="D12" s="7">
        <f t="shared" si="0"/>
        <v>0</v>
      </c>
      <c r="E12" s="21">
        <f t="shared" si="1"/>
        <v>0</v>
      </c>
      <c r="F12"/>
      <c r="G12" s="20"/>
      <c r="H12" s="20">
        <f t="shared" si="2"/>
        <v>0</v>
      </c>
      <c r="I12" s="21">
        <f t="shared" si="3"/>
        <v>0</v>
      </c>
      <c r="J12"/>
      <c r="K12" s="44">
        <v>0</v>
      </c>
      <c r="L12" s="37">
        <f>K12/$K$17</f>
        <v>0</v>
      </c>
      <c r="M12" s="28">
        <f t="shared" si="4"/>
        <v>0</v>
      </c>
      <c r="N12" s="21">
        <f t="shared" si="5"/>
        <v>0</v>
      </c>
      <c r="O12"/>
      <c r="P12"/>
      <c r="Q12"/>
      <c r="R12"/>
      <c r="S12"/>
      <c r="T12"/>
      <c r="U12"/>
      <c r="V12"/>
      <c r="W12"/>
    </row>
    <row r="13" spans="2:23" s="6" customFormat="1" ht="12.75">
      <c r="B13" s="59" t="s">
        <v>29</v>
      </c>
      <c r="C13" s="72"/>
      <c r="D13" s="11">
        <f t="shared" si="0"/>
        <v>0</v>
      </c>
      <c r="E13" s="38">
        <f t="shared" si="1"/>
        <v>0</v>
      </c>
      <c r="F13"/>
      <c r="G13" s="39"/>
      <c r="H13" s="40">
        <f t="shared" si="2"/>
        <v>0</v>
      </c>
      <c r="I13" s="38">
        <f t="shared" si="3"/>
        <v>0</v>
      </c>
      <c r="J13"/>
      <c r="K13" s="45">
        <v>0</v>
      </c>
      <c r="L13" s="37">
        <f>K13/$K$17</f>
        <v>0</v>
      </c>
      <c r="M13" s="24">
        <f t="shared" si="4"/>
        <v>0</v>
      </c>
      <c r="N13" s="21">
        <f t="shared" si="5"/>
        <v>0</v>
      </c>
      <c r="O13"/>
      <c r="P13"/>
      <c r="Q13"/>
      <c r="R13"/>
      <c r="S13"/>
      <c r="T13"/>
      <c r="U13"/>
      <c r="V13"/>
      <c r="W13"/>
    </row>
    <row r="14" spans="2:23" s="6" customFormat="1" ht="12.75">
      <c r="B14" s="6" t="s">
        <v>0</v>
      </c>
      <c r="C14" s="25">
        <f aca="true" t="shared" si="6" ref="C14:N14">SUM(C8:C13)</f>
        <v>1000000</v>
      </c>
      <c r="D14" s="7">
        <f t="shared" si="6"/>
        <v>1000000</v>
      </c>
      <c r="E14" s="21">
        <f t="shared" si="6"/>
        <v>1</v>
      </c>
      <c r="F14"/>
      <c r="G14" s="25">
        <f t="shared" si="6"/>
        <v>250000</v>
      </c>
      <c r="H14" s="7">
        <f t="shared" si="6"/>
        <v>1250000</v>
      </c>
      <c r="I14" s="41">
        <f t="shared" si="6"/>
        <v>1</v>
      </c>
      <c r="J14"/>
      <c r="K14" s="33">
        <f t="shared" si="6"/>
        <v>1000000</v>
      </c>
      <c r="L14" s="42">
        <f t="shared" si="6"/>
        <v>416666.6666666667</v>
      </c>
      <c r="M14" s="28">
        <f t="shared" si="6"/>
        <v>1666666.6666666667</v>
      </c>
      <c r="N14" s="43">
        <f t="shared" si="6"/>
        <v>1</v>
      </c>
      <c r="O14"/>
      <c r="P14"/>
      <c r="Q14"/>
      <c r="R14"/>
      <c r="S14"/>
      <c r="T14"/>
      <c r="U14"/>
      <c r="V14"/>
      <c r="W14"/>
    </row>
    <row r="15" spans="3:23" ht="12.75">
      <c r="C15" s="7"/>
      <c r="D15" s="7"/>
      <c r="E15" s="7"/>
      <c r="G15" s="10"/>
      <c r="H15" s="10"/>
      <c r="I15" s="23"/>
      <c r="K15" s="23"/>
      <c r="L15" s="10"/>
      <c r="M15" s="27"/>
      <c r="N15" s="7"/>
      <c r="P15"/>
      <c r="Q15"/>
      <c r="R15"/>
      <c r="T15"/>
      <c r="U15"/>
      <c r="V15"/>
      <c r="W15"/>
    </row>
    <row r="16" spans="2:23" ht="12.75">
      <c r="B16" s="3" t="s">
        <v>7</v>
      </c>
      <c r="G16"/>
      <c r="H16" t="s">
        <v>55</v>
      </c>
      <c r="I16" s="33">
        <f>K17*D14</f>
        <v>2400000</v>
      </c>
      <c r="K16" s="67">
        <v>3000000</v>
      </c>
      <c r="P16"/>
      <c r="Q16"/>
      <c r="R16"/>
      <c r="T16"/>
      <c r="U16"/>
      <c r="V16"/>
      <c r="W16"/>
    </row>
    <row r="17" spans="2:23" ht="12.75">
      <c r="B17" s="3" t="s">
        <v>6</v>
      </c>
      <c r="D17" s="29"/>
      <c r="E17" s="29"/>
      <c r="G17"/>
      <c r="H17"/>
      <c r="K17" s="64">
        <f>K16/H14</f>
        <v>2.4</v>
      </c>
      <c r="L17" s="65"/>
      <c r="M17" s="65"/>
      <c r="N17" s="65"/>
      <c r="P17"/>
      <c r="Q17"/>
      <c r="R17"/>
      <c r="T17"/>
      <c r="U17"/>
      <c r="V17"/>
      <c r="W17"/>
    </row>
    <row r="18" spans="2:23" ht="12.75">
      <c r="B18" s="3" t="s">
        <v>9</v>
      </c>
      <c r="D18" s="31"/>
      <c r="E18" s="31"/>
      <c r="G18"/>
      <c r="H18"/>
      <c r="K18" s="33">
        <f>K14</f>
        <v>1000000</v>
      </c>
      <c r="P18"/>
      <c r="Q18"/>
      <c r="R18"/>
      <c r="T18"/>
      <c r="U18"/>
      <c r="V18"/>
      <c r="W18"/>
    </row>
    <row r="19" spans="2:23" ht="12.75">
      <c r="B19" s="3" t="s">
        <v>28</v>
      </c>
      <c r="D19" s="31"/>
      <c r="E19" s="31"/>
      <c r="G19"/>
      <c r="H19"/>
      <c r="K19" s="33">
        <f>K16+K18</f>
        <v>4000000</v>
      </c>
      <c r="P19"/>
      <c r="Q19"/>
      <c r="R19"/>
      <c r="T19"/>
      <c r="U19"/>
      <c r="V19"/>
      <c r="W19"/>
    </row>
    <row r="20" spans="2:23" ht="12.75">
      <c r="B20" s="3" t="s">
        <v>21</v>
      </c>
      <c r="D20" s="31"/>
      <c r="E20" s="31"/>
      <c r="G20" s="32"/>
      <c r="K20" s="69">
        <v>39994</v>
      </c>
      <c r="P20"/>
      <c r="Q20"/>
      <c r="R20"/>
      <c r="T20"/>
      <c r="U20"/>
      <c r="V20"/>
      <c r="W20"/>
    </row>
    <row r="21" spans="8:18" ht="12.75">
      <c r="H21" s="34"/>
      <c r="I21" s="34"/>
      <c r="K21" s="34"/>
      <c r="L21" s="34"/>
      <c r="M21" s="34"/>
      <c r="N21" s="34"/>
      <c r="P21" s="34"/>
      <c r="Q21" s="34"/>
      <c r="R21" s="34"/>
    </row>
  </sheetData>
  <sheetProtection/>
  <printOptions/>
  <pageMargins left="0.5" right="0.5" top="0.5" bottom="0.5" header="0.5" footer="0.5"/>
  <pageSetup fitToHeight="1" fitToWidth="1" horizontalDpi="600" verticalDpi="600" orientation="landscape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21"/>
  <sheetViews>
    <sheetView showGridLines="0" zoomScaleSheetLayoutView="130" workbookViewId="0" topLeftCell="A1">
      <pane xSplit="2" topLeftCell="N1" activePane="topRight" state="frozen"/>
      <selection pane="topLeft" activeCell="A1" sqref="A1"/>
      <selection pane="topRight" activeCell="C1" sqref="C1"/>
    </sheetView>
  </sheetViews>
  <sheetFormatPr defaultColWidth="9.140625" defaultRowHeight="12.75"/>
  <cols>
    <col min="1" max="1" width="2.421875" style="3" customWidth="1"/>
    <col min="2" max="2" width="31.00390625" style="3" customWidth="1"/>
    <col min="3" max="3" width="12.421875" style="3" customWidth="1"/>
    <col min="4" max="5" width="11.8515625" style="3" customWidth="1"/>
    <col min="6" max="6" width="1.7109375" style="0" customWidth="1"/>
    <col min="7" max="7" width="11.8515625" style="3" customWidth="1"/>
    <col min="8" max="8" width="13.8515625" style="3" customWidth="1"/>
    <col min="9" max="9" width="13.28125" style="3" customWidth="1"/>
    <col min="10" max="10" width="1.421875" style="0" customWidth="1"/>
    <col min="11" max="14" width="13.28125" style="3" customWidth="1"/>
    <col min="15" max="15" width="1.421875" style="0" customWidth="1"/>
    <col min="16" max="18" width="13.28125" style="3" customWidth="1"/>
    <col min="19" max="19" width="1.421875" style="0" customWidth="1"/>
    <col min="20" max="21" width="13.421875" style="3" customWidth="1"/>
    <col min="22" max="22" width="10.28125" style="3" bestFit="1" customWidth="1"/>
    <col min="23" max="23" width="9.140625" style="3" customWidth="1"/>
    <col min="24" max="24" width="1.421875" style="0" customWidth="1"/>
    <col min="25" max="16384" width="9.140625" style="3" customWidth="1"/>
  </cols>
  <sheetData>
    <row r="2" ht="18">
      <c r="B2" s="4" t="s">
        <v>39</v>
      </c>
    </row>
    <row r="3" spans="2:20" ht="18">
      <c r="B3" s="5"/>
      <c r="C3" s="5"/>
      <c r="D3" s="5"/>
      <c r="E3" s="5"/>
      <c r="G3" s="5"/>
      <c r="H3" s="5"/>
      <c r="I3" s="5"/>
      <c r="K3" s="5"/>
      <c r="L3" s="5"/>
      <c r="M3" s="5"/>
      <c r="N3" s="5"/>
      <c r="P3" s="5"/>
      <c r="Q3" s="5"/>
      <c r="R3" s="5"/>
      <c r="T3" s="5"/>
    </row>
    <row r="4" spans="2:13" ht="15">
      <c r="B4" s="13" t="s">
        <v>10</v>
      </c>
      <c r="C4" s="12"/>
      <c r="H4" s="14"/>
      <c r="M4" s="14"/>
    </row>
    <row r="5" spans="2:23" ht="12.75">
      <c r="B5" s="73" t="s">
        <v>36</v>
      </c>
      <c r="C5" s="73"/>
      <c r="D5" s="73"/>
      <c r="E5" s="73"/>
      <c r="G5" s="73" t="s">
        <v>41</v>
      </c>
      <c r="H5" s="73"/>
      <c r="I5" s="73"/>
      <c r="K5" s="73" t="s">
        <v>34</v>
      </c>
      <c r="L5" s="73"/>
      <c r="M5" s="73"/>
      <c r="N5" s="73"/>
      <c r="P5" s="106" t="s">
        <v>41</v>
      </c>
      <c r="Q5" s="73"/>
      <c r="R5" s="73"/>
      <c r="T5" s="106" t="s">
        <v>35</v>
      </c>
      <c r="U5" s="73"/>
      <c r="V5" s="73"/>
      <c r="W5" s="73"/>
    </row>
    <row r="6" spans="2:23" ht="12.75">
      <c r="B6" s="14"/>
      <c r="C6" s="15"/>
      <c r="D6" s="15"/>
      <c r="E6" s="15"/>
      <c r="H6" s="15" t="s">
        <v>11</v>
      </c>
      <c r="I6" s="15"/>
      <c r="K6" s="15" t="s">
        <v>13</v>
      </c>
      <c r="L6" s="15" t="s">
        <v>13</v>
      </c>
      <c r="M6" s="15" t="s">
        <v>12</v>
      </c>
      <c r="N6" s="15"/>
      <c r="Q6" s="15" t="s">
        <v>11</v>
      </c>
      <c r="R6" s="15"/>
      <c r="T6" s="15" t="s">
        <v>30</v>
      </c>
      <c r="U6" s="15" t="s">
        <v>30</v>
      </c>
      <c r="V6" s="15" t="s">
        <v>12</v>
      </c>
      <c r="W6" s="15" t="s">
        <v>54</v>
      </c>
    </row>
    <row r="7" spans="2:25" ht="12.75">
      <c r="B7" s="16"/>
      <c r="C7" s="17" t="s">
        <v>1</v>
      </c>
      <c r="D7" s="17" t="s">
        <v>0</v>
      </c>
      <c r="E7" s="17" t="s">
        <v>3</v>
      </c>
      <c r="G7" s="17" t="s">
        <v>5</v>
      </c>
      <c r="H7" s="17" t="s">
        <v>0</v>
      </c>
      <c r="I7" s="17" t="s">
        <v>3</v>
      </c>
      <c r="K7" s="17" t="s">
        <v>27</v>
      </c>
      <c r="L7" s="17" t="s">
        <v>2</v>
      </c>
      <c r="M7" s="17" t="s">
        <v>0</v>
      </c>
      <c r="N7" s="18" t="s">
        <v>3</v>
      </c>
      <c r="P7" s="17" t="s">
        <v>5</v>
      </c>
      <c r="Q7" s="17" t="s">
        <v>0</v>
      </c>
      <c r="R7" s="17" t="s">
        <v>3</v>
      </c>
      <c r="T7" s="17" t="s">
        <v>27</v>
      </c>
      <c r="U7" s="17" t="s">
        <v>2</v>
      </c>
      <c r="V7" s="17" t="s">
        <v>0</v>
      </c>
      <c r="W7" s="18" t="s">
        <v>3</v>
      </c>
      <c r="Y7" s="16" t="s">
        <v>51</v>
      </c>
    </row>
    <row r="8" spans="2:25" s="6" customFormat="1" ht="12.75">
      <c r="B8" s="6" t="s">
        <v>24</v>
      </c>
      <c r="C8" s="68">
        <v>1000000</v>
      </c>
      <c r="D8" s="7">
        <f aca="true" t="shared" si="0" ref="D8:D13">SUM(C8:C8)</f>
        <v>1000000</v>
      </c>
      <c r="E8" s="21">
        <f aca="true" t="shared" si="1" ref="E8:E13">+D8/$D$14</f>
        <v>1</v>
      </c>
      <c r="F8"/>
      <c r="G8" s="20"/>
      <c r="H8" s="20">
        <f aca="true" t="shared" si="2" ref="H8:H13">G8+D8</f>
        <v>1000000</v>
      </c>
      <c r="I8" s="21">
        <f aca="true" t="shared" si="3" ref="I8:I13">H8/$H$14</f>
        <v>0.8</v>
      </c>
      <c r="J8"/>
      <c r="K8" s="21"/>
      <c r="L8" s="35"/>
      <c r="M8" s="28">
        <f aca="true" t="shared" si="4" ref="M8:M13">H8+L8</f>
        <v>1000000</v>
      </c>
      <c r="N8" s="21">
        <f aca="true" t="shared" si="5" ref="N8:N13">+M8/$M$14</f>
        <v>0.6</v>
      </c>
      <c r="O8"/>
      <c r="P8" s="20"/>
      <c r="Q8" s="20">
        <f aca="true" t="shared" si="6" ref="Q8:Q13">P8+M8</f>
        <v>1000000</v>
      </c>
      <c r="R8" s="21">
        <f aca="true" t="shared" si="7" ref="R8:R13">Q8/$Q$14</f>
        <v>0.547145723144264</v>
      </c>
      <c r="S8"/>
      <c r="T8" s="21"/>
      <c r="U8" s="35"/>
      <c r="V8" s="28">
        <f aca="true" t="shared" si="8" ref="V8:V13">Q8+U8</f>
        <v>1000000</v>
      </c>
      <c r="W8" s="21">
        <f aca="true" t="shared" si="9" ref="W8:W13">+V8/$V$14</f>
        <v>0.3647638154295094</v>
      </c>
      <c r="X8"/>
      <c r="Y8" s="21">
        <f aca="true" t="shared" si="10" ref="Y8:Y13">(L8+U8)/($L$14+$U$14)</f>
        <v>0</v>
      </c>
    </row>
    <row r="9" spans="2:25" s="6" customFormat="1" ht="12.75">
      <c r="B9" s="22" t="s">
        <v>26</v>
      </c>
      <c r="C9" s="19"/>
      <c r="D9" s="7">
        <f t="shared" si="0"/>
        <v>0</v>
      </c>
      <c r="E9" s="21">
        <f t="shared" si="1"/>
        <v>0</v>
      </c>
      <c r="F9"/>
      <c r="G9" s="20"/>
      <c r="H9" s="20">
        <f t="shared" si="2"/>
        <v>0</v>
      </c>
      <c r="I9" s="21">
        <f t="shared" si="3"/>
        <v>0</v>
      </c>
      <c r="J9"/>
      <c r="K9" s="21"/>
      <c r="L9" s="35"/>
      <c r="M9" s="28">
        <f t="shared" si="4"/>
        <v>0</v>
      </c>
      <c r="N9" s="21">
        <f t="shared" si="5"/>
        <v>0</v>
      </c>
      <c r="O9"/>
      <c r="P9" s="20"/>
      <c r="Q9" s="20">
        <f t="shared" si="6"/>
        <v>0</v>
      </c>
      <c r="R9" s="21">
        <f t="shared" si="7"/>
        <v>0</v>
      </c>
      <c r="S9"/>
      <c r="T9" s="21"/>
      <c r="U9" s="35"/>
      <c r="V9" s="28">
        <f t="shared" si="8"/>
        <v>0</v>
      </c>
      <c r="W9" s="21">
        <f t="shared" si="9"/>
        <v>0</v>
      </c>
      <c r="X9"/>
      <c r="Y9" s="21">
        <f t="shared" si="10"/>
        <v>0</v>
      </c>
    </row>
    <row r="10" spans="2:25" s="6" customFormat="1" ht="12.75">
      <c r="B10" s="22" t="s">
        <v>25</v>
      </c>
      <c r="C10" s="58"/>
      <c r="D10" s="7">
        <f t="shared" si="0"/>
        <v>0</v>
      </c>
      <c r="E10" s="21">
        <f t="shared" si="1"/>
        <v>0</v>
      </c>
      <c r="F10"/>
      <c r="G10" s="68">
        <v>250000</v>
      </c>
      <c r="H10" s="20">
        <f t="shared" si="2"/>
        <v>250000</v>
      </c>
      <c r="I10" s="21">
        <f t="shared" si="3"/>
        <v>0.2</v>
      </c>
      <c r="J10"/>
      <c r="K10" s="21"/>
      <c r="L10" s="36"/>
      <c r="M10" s="28">
        <f t="shared" si="4"/>
        <v>250000</v>
      </c>
      <c r="N10" s="21">
        <f t="shared" si="5"/>
        <v>0.15</v>
      </c>
      <c r="O10"/>
      <c r="P10" s="68">
        <v>161000</v>
      </c>
      <c r="Q10" s="20">
        <f t="shared" si="6"/>
        <v>411000</v>
      </c>
      <c r="R10" s="21">
        <f t="shared" si="7"/>
        <v>0.22487689221229254</v>
      </c>
      <c r="S10"/>
      <c r="T10" s="21"/>
      <c r="U10" s="36"/>
      <c r="V10" s="28">
        <f t="shared" si="8"/>
        <v>411000</v>
      </c>
      <c r="W10" s="21">
        <f t="shared" si="9"/>
        <v>0.14991792814152835</v>
      </c>
      <c r="X10"/>
      <c r="Y10" s="21">
        <f t="shared" si="10"/>
        <v>0</v>
      </c>
    </row>
    <row r="11" spans="2:25" s="6" customFormat="1" ht="12.75">
      <c r="B11" s="22" t="s">
        <v>14</v>
      </c>
      <c r="C11" s="58"/>
      <c r="D11" s="7">
        <f t="shared" si="0"/>
        <v>0</v>
      </c>
      <c r="E11" s="21">
        <f t="shared" si="1"/>
        <v>0</v>
      </c>
      <c r="F11"/>
      <c r="G11" s="20"/>
      <c r="H11" s="20">
        <f t="shared" si="2"/>
        <v>0</v>
      </c>
      <c r="I11" s="21">
        <f t="shared" si="3"/>
        <v>0</v>
      </c>
      <c r="J11"/>
      <c r="K11" s="67">
        <v>1000000</v>
      </c>
      <c r="L11" s="37">
        <f>K11/$K$17</f>
        <v>416666.6666666667</v>
      </c>
      <c r="M11" s="28">
        <f t="shared" si="4"/>
        <v>416666.6666666667</v>
      </c>
      <c r="N11" s="21">
        <f t="shared" si="5"/>
        <v>0.25</v>
      </c>
      <c r="O11"/>
      <c r="P11" s="20"/>
      <c r="Q11" s="20">
        <f t="shared" si="6"/>
        <v>416666.6666666667</v>
      </c>
      <c r="R11" s="21">
        <f t="shared" si="7"/>
        <v>0.22797738464344336</v>
      </c>
      <c r="S11"/>
      <c r="T11" s="67">
        <v>1000000</v>
      </c>
      <c r="U11" s="37">
        <f>T11/$T$17</f>
        <v>182766.66666666666</v>
      </c>
      <c r="V11" s="28">
        <f t="shared" si="8"/>
        <v>599433.3333333334</v>
      </c>
      <c r="W11" s="21">
        <f t="shared" si="9"/>
        <v>0.2186515897622956</v>
      </c>
      <c r="X11"/>
      <c r="Y11" s="21">
        <f t="shared" si="10"/>
        <v>0.4505323813102844</v>
      </c>
    </row>
    <row r="12" spans="2:25" s="6" customFormat="1" ht="12.75">
      <c r="B12" s="22" t="s">
        <v>15</v>
      </c>
      <c r="C12" s="58"/>
      <c r="D12" s="7">
        <f t="shared" si="0"/>
        <v>0</v>
      </c>
      <c r="E12" s="21">
        <f t="shared" si="1"/>
        <v>0</v>
      </c>
      <c r="F12"/>
      <c r="G12" s="20"/>
      <c r="H12" s="20">
        <f t="shared" si="2"/>
        <v>0</v>
      </c>
      <c r="I12" s="21">
        <f t="shared" si="3"/>
        <v>0</v>
      </c>
      <c r="J12"/>
      <c r="K12" s="44">
        <v>0</v>
      </c>
      <c r="L12" s="37">
        <f>K12/$K$17</f>
        <v>0</v>
      </c>
      <c r="M12" s="28">
        <f t="shared" si="4"/>
        <v>0</v>
      </c>
      <c r="N12" s="21">
        <f t="shared" si="5"/>
        <v>0</v>
      </c>
      <c r="O12"/>
      <c r="P12" s="20"/>
      <c r="Q12" s="20">
        <f t="shared" si="6"/>
        <v>0</v>
      </c>
      <c r="R12" s="21">
        <f t="shared" si="7"/>
        <v>0</v>
      </c>
      <c r="S12"/>
      <c r="T12" s="67">
        <v>4000000</v>
      </c>
      <c r="U12" s="37">
        <f>T12/$T$17</f>
        <v>731066.6666666666</v>
      </c>
      <c r="V12" s="28">
        <f t="shared" si="8"/>
        <v>731066.6666666666</v>
      </c>
      <c r="W12" s="21">
        <f t="shared" si="9"/>
        <v>0.26666666666666666</v>
      </c>
      <c r="X12"/>
      <c r="Y12" s="21">
        <f t="shared" si="10"/>
        <v>0.5494676186897156</v>
      </c>
    </row>
    <row r="13" spans="2:25" s="6" customFormat="1" ht="12.75">
      <c r="B13" s="59" t="s">
        <v>29</v>
      </c>
      <c r="C13" s="72"/>
      <c r="D13" s="11">
        <f t="shared" si="0"/>
        <v>0</v>
      </c>
      <c r="E13" s="38">
        <f t="shared" si="1"/>
        <v>0</v>
      </c>
      <c r="F13"/>
      <c r="G13" s="39"/>
      <c r="H13" s="40">
        <f t="shared" si="2"/>
        <v>0</v>
      </c>
      <c r="I13" s="38">
        <f t="shared" si="3"/>
        <v>0</v>
      </c>
      <c r="J13"/>
      <c r="K13" s="45">
        <v>0</v>
      </c>
      <c r="L13" s="37">
        <f>K13/$K$17</f>
        <v>0</v>
      </c>
      <c r="M13" s="24">
        <f t="shared" si="4"/>
        <v>0</v>
      </c>
      <c r="N13" s="21">
        <f t="shared" si="5"/>
        <v>0</v>
      </c>
      <c r="O13"/>
      <c r="P13" s="39"/>
      <c r="Q13" s="40">
        <f t="shared" si="6"/>
        <v>0</v>
      </c>
      <c r="R13" s="38">
        <f t="shared" si="7"/>
        <v>0</v>
      </c>
      <c r="S13"/>
      <c r="T13" s="45">
        <v>0</v>
      </c>
      <c r="U13" s="37">
        <f>T13/$T$17</f>
        <v>0</v>
      </c>
      <c r="V13" s="24">
        <f t="shared" si="8"/>
        <v>0</v>
      </c>
      <c r="W13" s="21">
        <f t="shared" si="9"/>
        <v>0</v>
      </c>
      <c r="X13"/>
      <c r="Y13" s="21">
        <f t="shared" si="10"/>
        <v>0</v>
      </c>
    </row>
    <row r="14" spans="2:25" s="6" customFormat="1" ht="12.75">
      <c r="B14" s="6" t="s">
        <v>0</v>
      </c>
      <c r="C14" s="25">
        <f aca="true" t="shared" si="11" ref="C14:Y14">SUM(C8:C13)</f>
        <v>1000000</v>
      </c>
      <c r="D14" s="7">
        <f t="shared" si="11"/>
        <v>1000000</v>
      </c>
      <c r="E14" s="21">
        <f t="shared" si="11"/>
        <v>1</v>
      </c>
      <c r="F14"/>
      <c r="G14" s="25">
        <f t="shared" si="11"/>
        <v>250000</v>
      </c>
      <c r="H14" s="7">
        <f t="shared" si="11"/>
        <v>1250000</v>
      </c>
      <c r="I14" s="41">
        <f t="shared" si="11"/>
        <v>1</v>
      </c>
      <c r="J14"/>
      <c r="K14" s="33">
        <f t="shared" si="11"/>
        <v>1000000</v>
      </c>
      <c r="L14" s="42">
        <f t="shared" si="11"/>
        <v>416666.6666666667</v>
      </c>
      <c r="M14" s="28">
        <f t="shared" si="11"/>
        <v>1666666.6666666667</v>
      </c>
      <c r="N14" s="43">
        <f t="shared" si="11"/>
        <v>1</v>
      </c>
      <c r="O14"/>
      <c r="P14" s="25">
        <f t="shared" si="11"/>
        <v>161000</v>
      </c>
      <c r="Q14" s="7">
        <f t="shared" si="11"/>
        <v>1827666.6666666667</v>
      </c>
      <c r="R14" s="41">
        <f t="shared" si="11"/>
        <v>1</v>
      </c>
      <c r="S14"/>
      <c r="T14" s="33">
        <f t="shared" si="11"/>
        <v>5000000</v>
      </c>
      <c r="U14" s="42">
        <f t="shared" si="11"/>
        <v>913833.3333333333</v>
      </c>
      <c r="V14" s="28">
        <f t="shared" si="11"/>
        <v>2741500</v>
      </c>
      <c r="W14" s="43">
        <f t="shared" si="11"/>
        <v>1</v>
      </c>
      <c r="X14"/>
      <c r="Y14" s="43">
        <f t="shared" si="11"/>
        <v>1</v>
      </c>
    </row>
    <row r="15" spans="3:23" ht="12.75">
      <c r="C15" s="7"/>
      <c r="D15" s="7"/>
      <c r="E15" s="7"/>
      <c r="G15" s="10"/>
      <c r="H15" s="10"/>
      <c r="I15" s="23"/>
      <c r="K15" s="23"/>
      <c r="L15" s="10"/>
      <c r="M15" s="27"/>
      <c r="N15" s="7"/>
      <c r="P15" s="7"/>
      <c r="Q15" s="7"/>
      <c r="R15" s="7"/>
      <c r="T15" s="23"/>
      <c r="U15" s="21"/>
      <c r="V15" s="27"/>
      <c r="W15" s="7"/>
    </row>
    <row r="16" spans="2:20" ht="12.75">
      <c r="B16" s="3" t="s">
        <v>7</v>
      </c>
      <c r="H16" t="s">
        <v>55</v>
      </c>
      <c r="I16" s="33">
        <f>K17*D14</f>
        <v>2400000</v>
      </c>
      <c r="K16" s="67">
        <v>3000000</v>
      </c>
      <c r="P16"/>
      <c r="Q16" t="s">
        <v>55</v>
      </c>
      <c r="R16" s="33">
        <f>T17*M14</f>
        <v>9119095.385737736</v>
      </c>
      <c r="T16" s="67">
        <v>10000000</v>
      </c>
    </row>
    <row r="17" spans="2:24" ht="12.75">
      <c r="B17" s="3" t="s">
        <v>6</v>
      </c>
      <c r="D17" s="29"/>
      <c r="E17" s="29"/>
      <c r="G17" s="30"/>
      <c r="K17" s="64">
        <f>K16/H14</f>
        <v>2.4</v>
      </c>
      <c r="L17" s="65"/>
      <c r="M17" s="65"/>
      <c r="N17" s="65"/>
      <c r="O17" s="74"/>
      <c r="P17"/>
      <c r="Q17"/>
      <c r="R17"/>
      <c r="S17" s="74"/>
      <c r="T17" s="64">
        <f>T16/Q14</f>
        <v>5.471457231442641</v>
      </c>
      <c r="X17" s="74"/>
    </row>
    <row r="18" spans="2:21" ht="12.75">
      <c r="B18" s="3" t="s">
        <v>9</v>
      </c>
      <c r="D18" s="31"/>
      <c r="E18" s="31"/>
      <c r="G18" s="32"/>
      <c r="K18" s="33">
        <f>K14</f>
        <v>1000000</v>
      </c>
      <c r="P18"/>
      <c r="Q18"/>
      <c r="R18"/>
      <c r="T18" s="33">
        <f>T14</f>
        <v>5000000</v>
      </c>
      <c r="U18" s="33"/>
    </row>
    <row r="19" spans="2:20" ht="12.75">
      <c r="B19" s="3" t="s">
        <v>28</v>
      </c>
      <c r="D19" s="31"/>
      <c r="E19" s="31"/>
      <c r="G19" s="32"/>
      <c r="K19" s="33">
        <f>K16+K18</f>
        <v>4000000</v>
      </c>
      <c r="P19"/>
      <c r="Q19"/>
      <c r="R19"/>
      <c r="T19" s="33">
        <f>T16+T18</f>
        <v>15000000</v>
      </c>
    </row>
    <row r="20" spans="2:20" ht="12.75">
      <c r="B20" s="3" t="s">
        <v>21</v>
      </c>
      <c r="D20" s="31"/>
      <c r="E20" s="31"/>
      <c r="G20" s="32"/>
      <c r="K20" s="69">
        <v>39994</v>
      </c>
      <c r="T20" s="69">
        <v>40359</v>
      </c>
    </row>
    <row r="21" spans="8:18" ht="12.75">
      <c r="H21" s="34"/>
      <c r="I21" s="34"/>
      <c r="K21" s="34"/>
      <c r="L21" s="34"/>
      <c r="M21" s="34"/>
      <c r="N21" s="34"/>
      <c r="P21" s="34"/>
      <c r="Q21" s="34"/>
      <c r="R21" s="34"/>
    </row>
  </sheetData>
  <sheetProtection/>
  <printOptions/>
  <pageMargins left="0.5" right="0.5" top="0.5" bottom="0.5" header="0.5" footer="0.5"/>
  <pageSetup fitToHeight="1" fitToWidth="1" horizontalDpi="600" verticalDpi="600" orientation="landscape" scale="5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63"/>
  <sheetViews>
    <sheetView showGridLines="0" zoomScaleSheetLayoutView="130" workbookViewId="0" topLeftCell="H31">
      <selection activeCell="A1" sqref="A1"/>
    </sheetView>
  </sheetViews>
  <sheetFormatPr defaultColWidth="9.140625" defaultRowHeight="12.75"/>
  <cols>
    <col min="1" max="1" width="2.421875" style="3" customWidth="1"/>
    <col min="2" max="2" width="31.00390625" style="3" customWidth="1"/>
    <col min="3" max="3" width="12.421875" style="3" customWidth="1"/>
    <col min="4" max="5" width="11.8515625" style="3" customWidth="1"/>
    <col min="6" max="6" width="1.7109375" style="0" customWidth="1"/>
    <col min="7" max="7" width="11.8515625" style="3" customWidth="1"/>
    <col min="8" max="8" width="13.8515625" style="3" customWidth="1"/>
    <col min="9" max="9" width="13.28125" style="3" customWidth="1"/>
    <col min="10" max="10" width="1.421875" style="0" customWidth="1"/>
    <col min="11" max="14" width="13.28125" style="3" customWidth="1"/>
    <col min="15" max="15" width="1.421875" style="0" customWidth="1"/>
    <col min="16" max="18" width="13.28125" style="3" customWidth="1"/>
    <col min="19" max="19" width="1.421875" style="0" customWidth="1"/>
    <col min="20" max="21" width="13.421875" style="3" customWidth="1"/>
    <col min="22" max="22" width="10.28125" style="3" bestFit="1" customWidth="1"/>
    <col min="23" max="23" width="9.140625" style="3" customWidth="1"/>
    <col min="24" max="24" width="1.421875" style="0" customWidth="1"/>
    <col min="25" max="16384" width="9.140625" style="3" customWidth="1"/>
  </cols>
  <sheetData>
    <row r="2" ht="18">
      <c r="B2" s="4" t="s">
        <v>39</v>
      </c>
    </row>
    <row r="3" spans="2:20" ht="18">
      <c r="B3" s="5"/>
      <c r="C3" s="5"/>
      <c r="D3" s="5"/>
      <c r="E3" s="5"/>
      <c r="G3" s="5"/>
      <c r="H3" s="5"/>
      <c r="I3" s="5"/>
      <c r="K3" s="5"/>
      <c r="L3" s="5"/>
      <c r="M3" s="5"/>
      <c r="N3" s="5"/>
      <c r="P3" s="5"/>
      <c r="Q3" s="5"/>
      <c r="R3" s="5"/>
      <c r="T3" s="5"/>
    </row>
    <row r="4" spans="2:13" ht="15">
      <c r="B4" s="13" t="s">
        <v>10</v>
      </c>
      <c r="C4" s="12"/>
      <c r="H4" s="14"/>
      <c r="M4" s="14"/>
    </row>
    <row r="5" spans="2:23" ht="12.75">
      <c r="B5" s="73" t="s">
        <v>36</v>
      </c>
      <c r="C5" s="73"/>
      <c r="D5" s="73"/>
      <c r="E5" s="73"/>
      <c r="G5" s="73" t="s">
        <v>41</v>
      </c>
      <c r="H5" s="73"/>
      <c r="I5" s="73"/>
      <c r="K5" s="73" t="s">
        <v>34</v>
      </c>
      <c r="L5" s="73"/>
      <c r="M5" s="73"/>
      <c r="N5" s="73"/>
      <c r="P5" s="73" t="s">
        <v>41</v>
      </c>
      <c r="Q5" s="73"/>
      <c r="R5" s="73"/>
      <c r="T5" s="73" t="s">
        <v>35</v>
      </c>
      <c r="U5" s="73"/>
      <c r="V5" s="73"/>
      <c r="W5" s="73"/>
    </row>
    <row r="6" spans="2:23" ht="12.75">
      <c r="B6" s="14"/>
      <c r="C6" s="15"/>
      <c r="D6" s="15"/>
      <c r="E6" s="15"/>
      <c r="H6" s="15" t="s">
        <v>11</v>
      </c>
      <c r="I6" s="15"/>
      <c r="K6" s="15" t="s">
        <v>13</v>
      </c>
      <c r="L6" s="15" t="s">
        <v>13</v>
      </c>
      <c r="M6" s="15" t="s">
        <v>12</v>
      </c>
      <c r="N6" s="15"/>
      <c r="Q6" s="15" t="s">
        <v>11</v>
      </c>
      <c r="R6" s="15"/>
      <c r="T6" s="15" t="s">
        <v>30</v>
      </c>
      <c r="U6" s="15" t="s">
        <v>30</v>
      </c>
      <c r="V6" s="15" t="s">
        <v>12</v>
      </c>
      <c r="W6" s="15"/>
    </row>
    <row r="7" spans="2:25" ht="12.75">
      <c r="B7" s="16"/>
      <c r="C7" s="17" t="s">
        <v>1</v>
      </c>
      <c r="D7" s="17" t="s">
        <v>0</v>
      </c>
      <c r="E7" s="17" t="s">
        <v>3</v>
      </c>
      <c r="G7" s="17" t="s">
        <v>5</v>
      </c>
      <c r="H7" s="17" t="s">
        <v>0</v>
      </c>
      <c r="I7" s="17" t="s">
        <v>3</v>
      </c>
      <c r="K7" s="17" t="s">
        <v>27</v>
      </c>
      <c r="L7" s="17" t="s">
        <v>2</v>
      </c>
      <c r="M7" s="17" t="s">
        <v>0</v>
      </c>
      <c r="N7" s="18" t="s">
        <v>3</v>
      </c>
      <c r="P7" s="17" t="s">
        <v>5</v>
      </c>
      <c r="Q7" s="17" t="s">
        <v>0</v>
      </c>
      <c r="R7" s="17" t="s">
        <v>3</v>
      </c>
      <c r="T7" s="17" t="s">
        <v>27</v>
      </c>
      <c r="U7" s="17" t="s">
        <v>2</v>
      </c>
      <c r="V7" s="17" t="s">
        <v>0</v>
      </c>
      <c r="W7" s="18" t="s">
        <v>3</v>
      </c>
      <c r="Y7" s="16" t="s">
        <v>51</v>
      </c>
    </row>
    <row r="8" spans="2:25" s="6" customFormat="1" ht="12.75">
      <c r="B8" s="6" t="s">
        <v>24</v>
      </c>
      <c r="C8" s="68">
        <v>1000000</v>
      </c>
      <c r="D8" s="7">
        <f aca="true" t="shared" si="0" ref="D8:D13">SUM(C8:C8)</f>
        <v>1000000</v>
      </c>
      <c r="E8" s="21">
        <f aca="true" t="shared" si="1" ref="E8:E13">+D8/$D$14</f>
        <v>1</v>
      </c>
      <c r="F8"/>
      <c r="G8" s="20"/>
      <c r="H8" s="20">
        <f aca="true" t="shared" si="2" ref="H8:H13">G8+D8</f>
        <v>1000000</v>
      </c>
      <c r="I8" s="21">
        <f aca="true" t="shared" si="3" ref="I8:I13">H8/$H$14</f>
        <v>0.8</v>
      </c>
      <c r="J8"/>
      <c r="K8" s="21"/>
      <c r="L8" s="35"/>
      <c r="M8" s="28">
        <f aca="true" t="shared" si="4" ref="M8:M13">H8+L8</f>
        <v>1000000</v>
      </c>
      <c r="N8" s="21">
        <f aca="true" t="shared" si="5" ref="N8:N13">+M8/$M$14</f>
        <v>0.6</v>
      </c>
      <c r="O8"/>
      <c r="P8" s="20"/>
      <c r="Q8" s="20">
        <f aca="true" t="shared" si="6" ref="Q8:Q13">P8+M8</f>
        <v>1000000</v>
      </c>
      <c r="R8" s="21">
        <f aca="true" t="shared" si="7" ref="R8:R13">Q8/$Q$14</f>
        <v>0.547145723144264</v>
      </c>
      <c r="S8"/>
      <c r="T8" s="21"/>
      <c r="U8" s="35"/>
      <c r="V8" s="28">
        <f aca="true" t="shared" si="8" ref="V8:V13">Q8+U8</f>
        <v>1000000</v>
      </c>
      <c r="W8" s="21">
        <f aca="true" t="shared" si="9" ref="W8:W13">+V8/$V$14</f>
        <v>0.3647638154295094</v>
      </c>
      <c r="X8"/>
      <c r="Y8" s="21">
        <f aca="true" t="shared" si="10" ref="Y8:Y13">(L8+U8)/($L$14+$U$14)</f>
        <v>0</v>
      </c>
    </row>
    <row r="9" spans="2:25" s="6" customFormat="1" ht="12.75">
      <c r="B9" s="22" t="s">
        <v>26</v>
      </c>
      <c r="C9" s="19"/>
      <c r="D9" s="7">
        <f t="shared" si="0"/>
        <v>0</v>
      </c>
      <c r="E9" s="21">
        <f t="shared" si="1"/>
        <v>0</v>
      </c>
      <c r="F9"/>
      <c r="G9" s="20"/>
      <c r="H9" s="20">
        <f t="shared" si="2"/>
        <v>0</v>
      </c>
      <c r="I9" s="21">
        <f t="shared" si="3"/>
        <v>0</v>
      </c>
      <c r="J9"/>
      <c r="K9" s="21"/>
      <c r="L9" s="35"/>
      <c r="M9" s="28">
        <f t="shared" si="4"/>
        <v>0</v>
      </c>
      <c r="N9" s="21">
        <f t="shared" si="5"/>
        <v>0</v>
      </c>
      <c r="O9"/>
      <c r="P9" s="20"/>
      <c r="Q9" s="20">
        <f t="shared" si="6"/>
        <v>0</v>
      </c>
      <c r="R9" s="21">
        <f t="shared" si="7"/>
        <v>0</v>
      </c>
      <c r="S9"/>
      <c r="T9" s="21"/>
      <c r="U9" s="35"/>
      <c r="V9" s="28">
        <f t="shared" si="8"/>
        <v>0</v>
      </c>
      <c r="W9" s="21">
        <f t="shared" si="9"/>
        <v>0</v>
      </c>
      <c r="X9"/>
      <c r="Y9" s="21">
        <f t="shared" si="10"/>
        <v>0</v>
      </c>
    </row>
    <row r="10" spans="2:25" s="6" customFormat="1" ht="12.75">
      <c r="B10" s="22" t="s">
        <v>25</v>
      </c>
      <c r="C10" s="58"/>
      <c r="D10" s="7">
        <f t="shared" si="0"/>
        <v>0</v>
      </c>
      <c r="E10" s="21">
        <f t="shared" si="1"/>
        <v>0</v>
      </c>
      <c r="F10"/>
      <c r="G10" s="68">
        <v>250000</v>
      </c>
      <c r="H10" s="20">
        <f t="shared" si="2"/>
        <v>250000</v>
      </c>
      <c r="I10" s="21">
        <f t="shared" si="3"/>
        <v>0.2</v>
      </c>
      <c r="J10"/>
      <c r="K10" s="21"/>
      <c r="L10" s="36"/>
      <c r="M10" s="28">
        <f t="shared" si="4"/>
        <v>250000</v>
      </c>
      <c r="N10" s="21">
        <f t="shared" si="5"/>
        <v>0.15</v>
      </c>
      <c r="O10"/>
      <c r="P10" s="68">
        <v>161000</v>
      </c>
      <c r="Q10" s="20">
        <f t="shared" si="6"/>
        <v>411000</v>
      </c>
      <c r="R10" s="21">
        <f t="shared" si="7"/>
        <v>0.22487689221229254</v>
      </c>
      <c r="S10"/>
      <c r="T10" s="21"/>
      <c r="U10" s="36"/>
      <c r="V10" s="28">
        <f t="shared" si="8"/>
        <v>411000</v>
      </c>
      <c r="W10" s="21">
        <f t="shared" si="9"/>
        <v>0.14991792814152835</v>
      </c>
      <c r="X10"/>
      <c r="Y10" s="21">
        <f t="shared" si="10"/>
        <v>0</v>
      </c>
    </row>
    <row r="11" spans="2:25" s="6" customFormat="1" ht="12.75">
      <c r="B11" s="22" t="s">
        <v>14</v>
      </c>
      <c r="C11" s="58"/>
      <c r="D11" s="7">
        <f t="shared" si="0"/>
        <v>0</v>
      </c>
      <c r="E11" s="21">
        <f t="shared" si="1"/>
        <v>0</v>
      </c>
      <c r="F11"/>
      <c r="G11" s="20"/>
      <c r="H11" s="20">
        <f t="shared" si="2"/>
        <v>0</v>
      </c>
      <c r="I11" s="21">
        <f t="shared" si="3"/>
        <v>0</v>
      </c>
      <c r="J11"/>
      <c r="K11" s="67">
        <v>1000000</v>
      </c>
      <c r="L11" s="37">
        <f>K11/$K$17</f>
        <v>416666.6666666667</v>
      </c>
      <c r="M11" s="28">
        <f t="shared" si="4"/>
        <v>416666.6666666667</v>
      </c>
      <c r="N11" s="21">
        <f t="shared" si="5"/>
        <v>0.25</v>
      </c>
      <c r="O11"/>
      <c r="P11" s="20"/>
      <c r="Q11" s="20">
        <f t="shared" si="6"/>
        <v>416666.6666666667</v>
      </c>
      <c r="R11" s="21">
        <f t="shared" si="7"/>
        <v>0.22797738464344336</v>
      </c>
      <c r="S11"/>
      <c r="T11" s="67">
        <v>1000000</v>
      </c>
      <c r="U11" s="37">
        <f>T11/$T$17</f>
        <v>182766.66666666666</v>
      </c>
      <c r="V11" s="28">
        <f t="shared" si="8"/>
        <v>599433.3333333334</v>
      </c>
      <c r="W11" s="21">
        <f t="shared" si="9"/>
        <v>0.2186515897622956</v>
      </c>
      <c r="X11"/>
      <c r="Y11" s="21">
        <f t="shared" si="10"/>
        <v>0.4505323813102844</v>
      </c>
    </row>
    <row r="12" spans="2:25" s="6" customFormat="1" ht="12.75">
      <c r="B12" s="22" t="s">
        <v>15</v>
      </c>
      <c r="C12" s="58"/>
      <c r="D12" s="7">
        <f t="shared" si="0"/>
        <v>0</v>
      </c>
      <c r="E12" s="21">
        <f t="shared" si="1"/>
        <v>0</v>
      </c>
      <c r="F12"/>
      <c r="G12" s="20"/>
      <c r="H12" s="20">
        <f t="shared" si="2"/>
        <v>0</v>
      </c>
      <c r="I12" s="21">
        <f t="shared" si="3"/>
        <v>0</v>
      </c>
      <c r="J12"/>
      <c r="K12" s="44">
        <v>0</v>
      </c>
      <c r="L12" s="37">
        <f>K12/$K$17</f>
        <v>0</v>
      </c>
      <c r="M12" s="28">
        <f t="shared" si="4"/>
        <v>0</v>
      </c>
      <c r="N12" s="21">
        <f t="shared" si="5"/>
        <v>0</v>
      </c>
      <c r="O12"/>
      <c r="P12" s="20"/>
      <c r="Q12" s="20">
        <f t="shared" si="6"/>
        <v>0</v>
      </c>
      <c r="R12" s="21">
        <f t="shared" si="7"/>
        <v>0</v>
      </c>
      <c r="S12"/>
      <c r="T12" s="67">
        <v>4000000</v>
      </c>
      <c r="U12" s="37">
        <f>T12/$T$17</f>
        <v>731066.6666666666</v>
      </c>
      <c r="V12" s="28">
        <f t="shared" si="8"/>
        <v>731066.6666666666</v>
      </c>
      <c r="W12" s="21">
        <f t="shared" si="9"/>
        <v>0.26666666666666666</v>
      </c>
      <c r="X12"/>
      <c r="Y12" s="21">
        <f t="shared" si="10"/>
        <v>0.5494676186897156</v>
      </c>
    </row>
    <row r="13" spans="2:25" s="6" customFormat="1" ht="12.75">
      <c r="B13" s="59" t="s">
        <v>29</v>
      </c>
      <c r="C13" s="72"/>
      <c r="D13" s="11">
        <f t="shared" si="0"/>
        <v>0</v>
      </c>
      <c r="E13" s="38">
        <f t="shared" si="1"/>
        <v>0</v>
      </c>
      <c r="F13"/>
      <c r="G13" s="39"/>
      <c r="H13" s="40">
        <f t="shared" si="2"/>
        <v>0</v>
      </c>
      <c r="I13" s="38">
        <f t="shared" si="3"/>
        <v>0</v>
      </c>
      <c r="J13"/>
      <c r="K13" s="45">
        <v>0</v>
      </c>
      <c r="L13" s="37">
        <f>K13/$K$17</f>
        <v>0</v>
      </c>
      <c r="M13" s="24">
        <f t="shared" si="4"/>
        <v>0</v>
      </c>
      <c r="N13" s="21">
        <f t="shared" si="5"/>
        <v>0</v>
      </c>
      <c r="O13"/>
      <c r="P13" s="39"/>
      <c r="Q13" s="40">
        <f t="shared" si="6"/>
        <v>0</v>
      </c>
      <c r="R13" s="38">
        <f t="shared" si="7"/>
        <v>0</v>
      </c>
      <c r="S13"/>
      <c r="T13" s="45">
        <v>0</v>
      </c>
      <c r="U13" s="37">
        <f>T13/$T$17</f>
        <v>0</v>
      </c>
      <c r="V13" s="24">
        <f t="shared" si="8"/>
        <v>0</v>
      </c>
      <c r="W13" s="21">
        <f t="shared" si="9"/>
        <v>0</v>
      </c>
      <c r="X13"/>
      <c r="Y13" s="21">
        <f t="shared" si="10"/>
        <v>0</v>
      </c>
    </row>
    <row r="14" spans="2:25" s="6" customFormat="1" ht="12.75">
      <c r="B14" s="6" t="s">
        <v>0</v>
      </c>
      <c r="C14" s="25">
        <f aca="true" t="shared" si="11" ref="C14:W14">SUM(C8:C13)</f>
        <v>1000000</v>
      </c>
      <c r="D14" s="7">
        <f t="shared" si="11"/>
        <v>1000000</v>
      </c>
      <c r="E14" s="21">
        <f t="shared" si="11"/>
        <v>1</v>
      </c>
      <c r="F14"/>
      <c r="G14" s="25">
        <f t="shared" si="11"/>
        <v>250000</v>
      </c>
      <c r="H14" s="7">
        <f t="shared" si="11"/>
        <v>1250000</v>
      </c>
      <c r="I14" s="41">
        <f t="shared" si="11"/>
        <v>1</v>
      </c>
      <c r="J14"/>
      <c r="K14" s="33">
        <f t="shared" si="11"/>
        <v>1000000</v>
      </c>
      <c r="L14" s="42">
        <f t="shared" si="11"/>
        <v>416666.6666666667</v>
      </c>
      <c r="M14" s="28">
        <f t="shared" si="11"/>
        <v>1666666.6666666667</v>
      </c>
      <c r="N14" s="43">
        <f t="shared" si="11"/>
        <v>1</v>
      </c>
      <c r="O14"/>
      <c r="P14" s="25">
        <f t="shared" si="11"/>
        <v>161000</v>
      </c>
      <c r="Q14" s="7">
        <f t="shared" si="11"/>
        <v>1827666.6666666667</v>
      </c>
      <c r="R14" s="41">
        <f t="shared" si="11"/>
        <v>1</v>
      </c>
      <c r="S14"/>
      <c r="T14" s="33">
        <f t="shared" si="11"/>
        <v>5000000</v>
      </c>
      <c r="U14" s="42">
        <f t="shared" si="11"/>
        <v>913833.3333333333</v>
      </c>
      <c r="V14" s="28">
        <f t="shared" si="11"/>
        <v>2741500</v>
      </c>
      <c r="W14" s="43">
        <f t="shared" si="11"/>
        <v>1</v>
      </c>
      <c r="X14"/>
      <c r="Y14" s="43">
        <f>SUM(Y8:Y13)</f>
        <v>1</v>
      </c>
    </row>
    <row r="15" spans="3:23" ht="12.75">
      <c r="C15" s="7"/>
      <c r="D15" s="7"/>
      <c r="E15" s="7"/>
      <c r="G15" s="10"/>
      <c r="H15" s="10"/>
      <c r="I15" s="23"/>
      <c r="K15" s="23"/>
      <c r="L15" s="10"/>
      <c r="M15" s="27"/>
      <c r="N15" s="7"/>
      <c r="P15" s="7"/>
      <c r="Q15" s="7"/>
      <c r="R15" s="7"/>
      <c r="T15" s="23"/>
      <c r="U15" s="21"/>
      <c r="V15" s="27"/>
      <c r="W15" s="7"/>
    </row>
    <row r="16" spans="2:20" ht="12.75">
      <c r="B16" s="3" t="s">
        <v>7</v>
      </c>
      <c r="H16" t="s">
        <v>55</v>
      </c>
      <c r="I16" s="33">
        <f>K17*D14</f>
        <v>2400000</v>
      </c>
      <c r="K16" s="67">
        <v>3000000</v>
      </c>
      <c r="Q16" t="s">
        <v>55</v>
      </c>
      <c r="R16" s="33">
        <f>T17*M14</f>
        <v>9119095.385737736</v>
      </c>
      <c r="T16" s="67">
        <v>10000000</v>
      </c>
    </row>
    <row r="17" spans="2:24" ht="12.75">
      <c r="B17" s="3" t="s">
        <v>6</v>
      </c>
      <c r="D17" s="29"/>
      <c r="E17" s="29"/>
      <c r="G17" s="30"/>
      <c r="K17" s="64">
        <f>K16/H14</f>
        <v>2.4</v>
      </c>
      <c r="L17" s="65"/>
      <c r="M17" s="65"/>
      <c r="N17" s="65"/>
      <c r="O17" s="74"/>
      <c r="P17" s="65"/>
      <c r="Q17" s="65"/>
      <c r="R17" s="65"/>
      <c r="S17" s="74"/>
      <c r="T17" s="64">
        <f>T16/Q14</f>
        <v>5.471457231442641</v>
      </c>
      <c r="X17" s="74"/>
    </row>
    <row r="18" spans="2:20" ht="12.75">
      <c r="B18" s="3" t="s">
        <v>9</v>
      </c>
      <c r="D18" s="31"/>
      <c r="E18" s="31"/>
      <c r="G18" s="32"/>
      <c r="K18" s="33">
        <f>K14</f>
        <v>1000000</v>
      </c>
      <c r="T18" s="33">
        <f>T14</f>
        <v>5000000</v>
      </c>
    </row>
    <row r="19" spans="2:20" ht="12.75">
      <c r="B19" s="3" t="s">
        <v>28</v>
      </c>
      <c r="D19" s="31"/>
      <c r="E19" s="31"/>
      <c r="G19" s="32"/>
      <c r="K19" s="33">
        <f>K16+K18</f>
        <v>4000000</v>
      </c>
      <c r="T19" s="33">
        <f>T16+T18</f>
        <v>15000000</v>
      </c>
    </row>
    <row r="20" spans="2:20" ht="12.75">
      <c r="B20" s="3" t="s">
        <v>21</v>
      </c>
      <c r="D20" s="31"/>
      <c r="E20" s="31"/>
      <c r="G20" s="32"/>
      <c r="K20" s="69">
        <v>39994</v>
      </c>
      <c r="T20" s="69">
        <v>40359</v>
      </c>
    </row>
    <row r="21" spans="8:18" ht="12.75">
      <c r="H21" s="34"/>
      <c r="I21" s="34"/>
      <c r="K21" s="34"/>
      <c r="L21" s="34"/>
      <c r="M21" s="34"/>
      <c r="N21" s="34"/>
      <c r="P21" s="34"/>
      <c r="Q21" s="34"/>
      <c r="R21" s="34"/>
    </row>
    <row r="22" spans="2:17" ht="15">
      <c r="B22" s="13" t="s">
        <v>16</v>
      </c>
      <c r="H22" s="34"/>
      <c r="K22" s="34"/>
      <c r="L22" s="34"/>
      <c r="M22" s="34"/>
      <c r="N22" s="34"/>
      <c r="P22" s="34"/>
      <c r="Q22" s="34"/>
    </row>
    <row r="23" spans="8:18" ht="12.75">
      <c r="H23" s="34"/>
      <c r="I23" s="100" t="s">
        <v>43</v>
      </c>
      <c r="K23" s="34"/>
      <c r="L23" s="34"/>
      <c r="M23" s="34"/>
      <c r="N23" s="34"/>
      <c r="P23" s="34"/>
      <c r="Q23" s="34"/>
      <c r="R23" s="100" t="s">
        <v>44</v>
      </c>
    </row>
    <row r="24" spans="2:18" ht="12.75">
      <c r="B24" s="3" t="s">
        <v>17</v>
      </c>
      <c r="I24" s="70">
        <v>100000000</v>
      </c>
      <c r="K24" s="34"/>
      <c r="R24" s="70">
        <v>12000000</v>
      </c>
    </row>
    <row r="25" spans="2:18" ht="12.75">
      <c r="B25" s="3" t="s">
        <v>49</v>
      </c>
      <c r="I25" s="66">
        <f>I24/V14</f>
        <v>36.47638154295094</v>
      </c>
      <c r="J25" s="2"/>
      <c r="K25" s="34"/>
      <c r="O25" s="2"/>
      <c r="R25" s="66">
        <f>R24/V14</f>
        <v>4.377165785154113</v>
      </c>
    </row>
    <row r="26" spans="2:18" ht="12.75">
      <c r="B26" s="3" t="s">
        <v>20</v>
      </c>
      <c r="I26" s="47">
        <v>40724</v>
      </c>
      <c r="R26" s="47">
        <v>40724</v>
      </c>
    </row>
    <row r="28" spans="2:17" ht="12.75">
      <c r="B28" s="8" t="s">
        <v>18</v>
      </c>
      <c r="C28" s="78" t="s">
        <v>21</v>
      </c>
      <c r="D28" s="79" t="s">
        <v>19</v>
      </c>
      <c r="E28" s="79" t="s">
        <v>22</v>
      </c>
      <c r="F28" s="80"/>
      <c r="G28" s="79" t="s">
        <v>8</v>
      </c>
      <c r="H28" s="81"/>
      <c r="K28" s="56"/>
      <c r="L28" s="78" t="s">
        <v>21</v>
      </c>
      <c r="M28" s="79" t="s">
        <v>19</v>
      </c>
      <c r="N28" s="79" t="s">
        <v>22</v>
      </c>
      <c r="O28" s="80"/>
      <c r="P28" s="79" t="s">
        <v>8</v>
      </c>
      <c r="Q28" s="81"/>
    </row>
    <row r="29" spans="2:18" ht="12.75">
      <c r="B29" s="3" t="s">
        <v>56</v>
      </c>
      <c r="C29" s="82"/>
      <c r="D29" s="83"/>
      <c r="E29" s="84">
        <f>T17</f>
        <v>5.471457231442641</v>
      </c>
      <c r="F29" s="1"/>
      <c r="G29" s="85">
        <f>U14</f>
        <v>913833.3333333333</v>
      </c>
      <c r="H29" s="86">
        <f>E29*G29</f>
        <v>5000000</v>
      </c>
      <c r="I29" s="33"/>
      <c r="K29" s="58"/>
      <c r="L29" s="82"/>
      <c r="M29" s="83"/>
      <c r="N29" s="84">
        <f>T17</f>
        <v>5.471457231442641</v>
      </c>
      <c r="O29" s="1"/>
      <c r="P29" s="85">
        <f>U14</f>
        <v>913833.3333333333</v>
      </c>
      <c r="Q29" s="86">
        <f>N29*P29</f>
        <v>5000000</v>
      </c>
      <c r="R29" s="33"/>
    </row>
    <row r="30" spans="2:17" ht="15.75">
      <c r="B30" s="3" t="s">
        <v>31</v>
      </c>
      <c r="C30" s="87">
        <f>T20</f>
        <v>40359</v>
      </c>
      <c r="D30" s="76">
        <v>0</v>
      </c>
      <c r="E30" s="77">
        <f>((I26-C30)/365)*D30*E29</f>
        <v>0</v>
      </c>
      <c r="F30" s="1"/>
      <c r="G30" s="85">
        <f>G29</f>
        <v>913833.3333333333</v>
      </c>
      <c r="H30" s="88">
        <f>E30*G29</f>
        <v>0</v>
      </c>
      <c r="K30" s="6"/>
      <c r="L30" s="87">
        <f>T20</f>
        <v>40359</v>
      </c>
      <c r="M30" s="76">
        <v>0</v>
      </c>
      <c r="N30" s="77">
        <f>((R26-L30)/365)*M30*N29</f>
        <v>0</v>
      </c>
      <c r="O30" s="1"/>
      <c r="P30" s="85">
        <f>P29</f>
        <v>913833.3333333333</v>
      </c>
      <c r="Q30" s="88">
        <f>N30*P30</f>
        <v>0</v>
      </c>
    </row>
    <row r="31" spans="2:18" ht="12.75">
      <c r="B31" s="3" t="s">
        <v>45</v>
      </c>
      <c r="C31" s="82"/>
      <c r="D31" s="83"/>
      <c r="E31" s="84">
        <f>SUM(E29:E30)</f>
        <v>5.471457231442641</v>
      </c>
      <c r="F31" s="1"/>
      <c r="G31" s="85"/>
      <c r="H31" s="89">
        <f>SUM(H29:H30)</f>
        <v>5000000</v>
      </c>
      <c r="I31" s="46">
        <f>IF(E32,0,H31)</f>
        <v>0</v>
      </c>
      <c r="L31" s="82"/>
      <c r="M31" s="83"/>
      <c r="N31" s="84">
        <f>SUM(N29:N30)</f>
        <v>5.471457231442641</v>
      </c>
      <c r="O31" s="1"/>
      <c r="P31" s="85"/>
      <c r="Q31" s="89">
        <f>SUM(Q29:Q30)</f>
        <v>5000000</v>
      </c>
      <c r="R31" s="46">
        <f>IF(N32,0,Q31)</f>
        <v>5000000</v>
      </c>
    </row>
    <row r="32" spans="2:17" ht="12.75">
      <c r="B32" s="3" t="s">
        <v>40</v>
      </c>
      <c r="C32" s="82"/>
      <c r="D32" s="83"/>
      <c r="E32" s="71" t="b">
        <v>1</v>
      </c>
      <c r="F32" s="1"/>
      <c r="G32" s="85"/>
      <c r="H32" s="89"/>
      <c r="K32"/>
      <c r="L32" s="82"/>
      <c r="M32" s="83"/>
      <c r="N32" s="71" t="b">
        <v>0</v>
      </c>
      <c r="O32" s="1"/>
      <c r="P32" s="85"/>
      <c r="Q32" s="89"/>
    </row>
    <row r="33" spans="3:18" ht="12.75">
      <c r="C33" s="82"/>
      <c r="D33" s="83"/>
      <c r="E33" s="84"/>
      <c r="F33" s="1"/>
      <c r="G33" s="85"/>
      <c r="H33" s="89"/>
      <c r="I33" s="46"/>
      <c r="K33" s="57"/>
      <c r="L33" s="82"/>
      <c r="M33" s="83"/>
      <c r="N33" s="84"/>
      <c r="O33" s="1"/>
      <c r="P33" s="85"/>
      <c r="Q33" s="89"/>
      <c r="R33" s="46"/>
    </row>
    <row r="34" spans="2:18" ht="12.75">
      <c r="B34" s="3" t="s">
        <v>57</v>
      </c>
      <c r="C34" s="82"/>
      <c r="D34" s="83"/>
      <c r="E34" s="84">
        <f>K17</f>
        <v>2.4</v>
      </c>
      <c r="F34" s="1"/>
      <c r="G34" s="85">
        <f>L14</f>
        <v>416666.6666666667</v>
      </c>
      <c r="H34" s="86">
        <f>E34*G34</f>
        <v>1000000</v>
      </c>
      <c r="I34" s="33"/>
      <c r="K34" s="57"/>
      <c r="L34" s="82"/>
      <c r="M34" s="83"/>
      <c r="N34" s="84">
        <f>K17</f>
        <v>2.4</v>
      </c>
      <c r="O34" s="1"/>
      <c r="P34" s="85">
        <f>L14</f>
        <v>416666.6666666667</v>
      </c>
      <c r="Q34" s="86">
        <f>N34*P34</f>
        <v>1000000</v>
      </c>
      <c r="R34" s="33"/>
    </row>
    <row r="35" spans="2:17" ht="15.75">
      <c r="B35" s="3" t="s">
        <v>23</v>
      </c>
      <c r="C35" s="87">
        <f>K20</f>
        <v>39994</v>
      </c>
      <c r="D35" s="76">
        <v>0</v>
      </c>
      <c r="E35" s="77">
        <f>((I26-C35)/365)*D35*E34</f>
        <v>0</v>
      </c>
      <c r="F35" s="1"/>
      <c r="G35" s="85">
        <f>G34</f>
        <v>416666.6666666667</v>
      </c>
      <c r="H35" s="88">
        <f>E35*G35</f>
        <v>0</v>
      </c>
      <c r="K35" s="57"/>
      <c r="L35" s="87">
        <f>K20</f>
        <v>39994</v>
      </c>
      <c r="M35" s="76">
        <v>0</v>
      </c>
      <c r="N35" s="77">
        <f>((R26-L35)/365)*M35*N34</f>
        <v>0</v>
      </c>
      <c r="O35" s="1"/>
      <c r="P35" s="85">
        <f>P34</f>
        <v>416666.6666666667</v>
      </c>
      <c r="Q35" s="88">
        <f>N35*P35</f>
        <v>0</v>
      </c>
    </row>
    <row r="36" spans="2:18" ht="15.75">
      <c r="B36" s="3" t="s">
        <v>38</v>
      </c>
      <c r="C36" s="82"/>
      <c r="D36" s="83"/>
      <c r="E36" s="84">
        <f>SUM(E34:E35)</f>
        <v>2.4</v>
      </c>
      <c r="F36" s="1"/>
      <c r="G36" s="85"/>
      <c r="H36" s="89">
        <f>SUM(H34:H35)</f>
        <v>1000000</v>
      </c>
      <c r="I36" s="55">
        <f>IF(E37,0,H36)</f>
        <v>0</v>
      </c>
      <c r="L36" s="82"/>
      <c r="M36" s="83"/>
      <c r="N36" s="84">
        <f>SUM(N34:N35)</f>
        <v>2.4</v>
      </c>
      <c r="O36" s="1"/>
      <c r="P36" s="85"/>
      <c r="Q36" s="89">
        <f>SUM(Q34:Q35)</f>
        <v>1000000</v>
      </c>
      <c r="R36" s="55">
        <f>IF(N37,0,Q36)</f>
        <v>0</v>
      </c>
    </row>
    <row r="37" spans="2:17" ht="12.75">
      <c r="B37" s="3" t="s">
        <v>40</v>
      </c>
      <c r="C37" s="95"/>
      <c r="D37" s="96"/>
      <c r="E37" s="71" t="b">
        <f>IF(E36&lt;I25,TRUE,FALSE)</f>
        <v>1</v>
      </c>
      <c r="F37" s="97"/>
      <c r="G37" s="98"/>
      <c r="H37" s="99"/>
      <c r="K37"/>
      <c r="L37" s="95"/>
      <c r="M37" s="96"/>
      <c r="N37" s="71" t="b">
        <v>1</v>
      </c>
      <c r="O37" s="97"/>
      <c r="P37" s="98"/>
      <c r="Q37" s="99"/>
    </row>
    <row r="38" spans="3:18" ht="15.75">
      <c r="C38" s="52"/>
      <c r="D38" s="52"/>
      <c r="E38"/>
      <c r="G38" s="53"/>
      <c r="H38" s="54"/>
      <c r="I38" s="55"/>
      <c r="K38"/>
      <c r="L38" s="52"/>
      <c r="M38" s="52"/>
      <c r="N38"/>
      <c r="P38" s="53"/>
      <c r="Q38" s="54"/>
      <c r="R38" s="55"/>
    </row>
    <row r="39" spans="2:18" ht="12.75">
      <c r="B39" s="3" t="s">
        <v>37</v>
      </c>
      <c r="I39" s="46">
        <f>SUM(I29:I36)</f>
        <v>0</v>
      </c>
      <c r="K39" s="6"/>
      <c r="R39" s="46">
        <f>SUM(R29:R36)</f>
        <v>5000000</v>
      </c>
    </row>
    <row r="40" spans="9:18" ht="12.75">
      <c r="I40" s="46"/>
      <c r="K40" s="6"/>
      <c r="R40" s="46"/>
    </row>
    <row r="41" spans="2:18" ht="12.75">
      <c r="B41" s="3" t="s">
        <v>47</v>
      </c>
      <c r="I41" s="63">
        <f>I24-I39</f>
        <v>100000000</v>
      </c>
      <c r="K41" s="6"/>
      <c r="R41" s="63">
        <f>R24-R39</f>
        <v>7000000</v>
      </c>
    </row>
    <row r="42" ht="12.75">
      <c r="K42" s="6"/>
    </row>
    <row r="43" spans="2:17" ht="12.75">
      <c r="B43" s="8" t="s">
        <v>48</v>
      </c>
      <c r="E43" s="101"/>
      <c r="G43" s="61" t="s">
        <v>8</v>
      </c>
      <c r="H43" s="61" t="s">
        <v>32</v>
      </c>
      <c r="N43" s="101"/>
      <c r="P43" s="61" t="s">
        <v>8</v>
      </c>
      <c r="Q43" s="61" t="s">
        <v>32</v>
      </c>
    </row>
    <row r="44" spans="2:18" ht="12.75">
      <c r="B44" s="3" t="s">
        <v>30</v>
      </c>
      <c r="E44" s="22"/>
      <c r="G44" s="48">
        <f>IF(E32,G29,0)</f>
        <v>913833.3333333333</v>
      </c>
      <c r="H44" s="9">
        <f>G44/$G$48</f>
        <v>0.3333333333333333</v>
      </c>
      <c r="I44" s="46">
        <f>H44*$I$41</f>
        <v>33333333.333333332</v>
      </c>
      <c r="N44" s="22"/>
      <c r="P44" s="48">
        <f>IF(N32,P29,0)</f>
        <v>0</v>
      </c>
      <c r="Q44" s="9">
        <f>P44/$P$48</f>
        <v>0</v>
      </c>
      <c r="R44" s="46">
        <f>Q44*$R$41</f>
        <v>0</v>
      </c>
    </row>
    <row r="45" spans="2:18" ht="12.75">
      <c r="B45" s="3" t="s">
        <v>13</v>
      </c>
      <c r="E45" s="22"/>
      <c r="G45" s="48">
        <f>IF(E37,G34,0)</f>
        <v>416666.6666666667</v>
      </c>
      <c r="H45" s="9">
        <f>G45/$G$48</f>
        <v>0.15198492309562892</v>
      </c>
      <c r="I45" s="46">
        <f>H45*$I$41</f>
        <v>15198492.309562892</v>
      </c>
      <c r="N45" s="22"/>
      <c r="P45" s="48">
        <f>IF(N37,P34,0)</f>
        <v>416666.6666666667</v>
      </c>
      <c r="Q45" s="9">
        <f>P45/$P$48</f>
        <v>0.22797738464344336</v>
      </c>
      <c r="R45" s="46">
        <f>Q45*$R$41</f>
        <v>1595841.6925041035</v>
      </c>
    </row>
    <row r="46" spans="2:18" ht="12.75">
      <c r="B46" s="3" t="s">
        <v>1</v>
      </c>
      <c r="G46" s="10">
        <f>C14</f>
        <v>1000000</v>
      </c>
      <c r="H46" s="9">
        <f>G46/$G$48</f>
        <v>0.3647638154295094</v>
      </c>
      <c r="I46" s="46">
        <f>H46*$I$41</f>
        <v>36476381.54295094</v>
      </c>
      <c r="K46" s="6"/>
      <c r="P46" s="10">
        <f>C14</f>
        <v>1000000</v>
      </c>
      <c r="Q46" s="9">
        <f>P46/$P$48</f>
        <v>0.547145723144264</v>
      </c>
      <c r="R46" s="46">
        <f>Q46*$R$41</f>
        <v>3830020.062009848</v>
      </c>
    </row>
    <row r="47" spans="2:18" ht="12.75">
      <c r="B47" s="3" t="s">
        <v>4</v>
      </c>
      <c r="G47" s="49">
        <f>V9+V10</f>
        <v>411000</v>
      </c>
      <c r="H47" s="50">
        <f>G47/$G$48</f>
        <v>0.14991792814152835</v>
      </c>
      <c r="I47" s="51">
        <f>H47*$I$41</f>
        <v>14991792.814152835</v>
      </c>
      <c r="K47" s="6"/>
      <c r="P47" s="49">
        <f>V9+V10</f>
        <v>411000</v>
      </c>
      <c r="Q47" s="50">
        <f>P47/$P$48</f>
        <v>0.22487689221229254</v>
      </c>
      <c r="R47" s="51">
        <f>Q47*$R$41</f>
        <v>1574138.2454860478</v>
      </c>
    </row>
    <row r="48" spans="2:18" ht="12.75">
      <c r="B48" s="3" t="s">
        <v>0</v>
      </c>
      <c r="E48" s="66"/>
      <c r="G48" s="48">
        <f>SUM(G44:G47)</f>
        <v>2741500</v>
      </c>
      <c r="H48" s="26">
        <f>SUM(H44:H47)</f>
        <v>1</v>
      </c>
      <c r="I48" s="63">
        <f>SUM(I44:I47)</f>
        <v>100000000</v>
      </c>
      <c r="K48" s="6"/>
      <c r="N48" s="66"/>
      <c r="P48" s="48">
        <f>SUM(P44:P47)</f>
        <v>1827666.6666666667</v>
      </c>
      <c r="Q48" s="26">
        <f>SUM(Q44:Q47)</f>
        <v>1</v>
      </c>
      <c r="R48" s="63">
        <f>SUM(R44:R47)</f>
        <v>7000000</v>
      </c>
    </row>
    <row r="50" spans="2:11" ht="12.75">
      <c r="B50" s="8" t="s">
        <v>33</v>
      </c>
      <c r="G50" s="75" t="s">
        <v>22</v>
      </c>
      <c r="H50" s="61" t="s">
        <v>32</v>
      </c>
      <c r="K50"/>
    </row>
    <row r="51" spans="2:18" ht="12.75">
      <c r="B51" s="3" t="s">
        <v>30</v>
      </c>
      <c r="G51" s="64">
        <f>I51/G29</f>
        <v>36.47638154295094</v>
      </c>
      <c r="H51" s="9">
        <f>I51/$I$55</f>
        <v>0.3333333333333333</v>
      </c>
      <c r="I51" s="46">
        <f>I44+I31</f>
        <v>33333333.333333332</v>
      </c>
      <c r="P51" s="64">
        <f>R51/P29</f>
        <v>5.471457231442641</v>
      </c>
      <c r="Q51" s="9">
        <f>R51/$R$55</f>
        <v>0.41666666666666674</v>
      </c>
      <c r="R51" s="46">
        <f>R44+R31</f>
        <v>5000000</v>
      </c>
    </row>
    <row r="52" spans="2:18" ht="12.75">
      <c r="B52" s="3" t="s">
        <v>13</v>
      </c>
      <c r="G52" s="64">
        <f>I52/G34</f>
        <v>36.47638154295094</v>
      </c>
      <c r="H52" s="9">
        <f>I52/$I$55</f>
        <v>0.15198492309562892</v>
      </c>
      <c r="I52" s="46">
        <f>I45+I36</f>
        <v>15198492.309562892</v>
      </c>
      <c r="P52" s="64">
        <f>R52/P34</f>
        <v>3.830020062009848</v>
      </c>
      <c r="Q52" s="9">
        <f>R52/$R$55</f>
        <v>0.13298680770867533</v>
      </c>
      <c r="R52" s="46">
        <f>R45+R36</f>
        <v>1595841.6925041035</v>
      </c>
    </row>
    <row r="53" spans="2:18" ht="12.75">
      <c r="B53" s="3" t="s">
        <v>1</v>
      </c>
      <c r="G53" s="65">
        <f>I53/G46</f>
        <v>36.476381542950946</v>
      </c>
      <c r="H53" s="9">
        <f>I53/$I$55</f>
        <v>0.3647638154295094</v>
      </c>
      <c r="I53" s="46">
        <f>I46</f>
        <v>36476381.54295094</v>
      </c>
      <c r="K53" s="60"/>
      <c r="P53" s="65">
        <f>R53/P46</f>
        <v>3.830020062009848</v>
      </c>
      <c r="Q53" s="9">
        <f>R53/$R$55</f>
        <v>0.3191683385008207</v>
      </c>
      <c r="R53" s="46">
        <f>R46</f>
        <v>3830020.062009848</v>
      </c>
    </row>
    <row r="54" spans="2:18" ht="15.75">
      <c r="B54" s="3" t="s">
        <v>4</v>
      </c>
      <c r="G54" s="65">
        <f>I54/G47</f>
        <v>36.47638154295094</v>
      </c>
      <c r="H54" s="50">
        <f>I54/$I$55</f>
        <v>0.14991792814152835</v>
      </c>
      <c r="I54" s="55">
        <f>I47</f>
        <v>14991792.814152835</v>
      </c>
      <c r="K54" s="60"/>
      <c r="P54" s="65">
        <f>R54/P47</f>
        <v>3.8300200620098486</v>
      </c>
      <c r="Q54" s="50">
        <f>R54/$R$55</f>
        <v>0.13117818712383733</v>
      </c>
      <c r="R54" s="55">
        <f>R47</f>
        <v>1574138.2454860478</v>
      </c>
    </row>
    <row r="55" spans="2:18" ht="12.75">
      <c r="B55" s="3" t="s">
        <v>0</v>
      </c>
      <c r="H55" s="26">
        <f>SUM(H51:H54)</f>
        <v>1</v>
      </c>
      <c r="I55" s="63">
        <f>SUM(I51:I54)</f>
        <v>100000000</v>
      </c>
      <c r="Q55" s="26">
        <f>SUM(Q51:Q54)</f>
        <v>1</v>
      </c>
      <c r="R55" s="63">
        <f>SUM(R51:R54)</f>
        <v>11999999.999999998</v>
      </c>
    </row>
    <row r="57" ht="12.75">
      <c r="B57" s="8" t="s">
        <v>42</v>
      </c>
    </row>
    <row r="58" spans="2:18" ht="12.75">
      <c r="B58" s="3" t="s">
        <v>30</v>
      </c>
      <c r="I58" s="62">
        <f>I51/T14</f>
        <v>6.666666666666666</v>
      </c>
      <c r="R58" s="62">
        <f>R51/T14</f>
        <v>1</v>
      </c>
    </row>
    <row r="59" spans="2:18" ht="12.75">
      <c r="B59" s="3" t="s">
        <v>13</v>
      </c>
      <c r="I59" s="62">
        <f>I52/K14</f>
        <v>15.198492309562893</v>
      </c>
      <c r="R59" s="62">
        <f>R52/K14</f>
        <v>1.5958416925041035</v>
      </c>
    </row>
    <row r="61" spans="2:18" ht="12.75">
      <c r="B61" s="102" t="s">
        <v>46</v>
      </c>
      <c r="C61" s="102"/>
      <c r="D61" s="102"/>
      <c r="E61" s="102"/>
      <c r="F61" s="103"/>
      <c r="G61" s="102"/>
      <c r="H61" s="102"/>
      <c r="I61" s="102"/>
      <c r="J61" s="103"/>
      <c r="K61" s="102"/>
      <c r="L61" s="102"/>
      <c r="M61" s="102"/>
      <c r="N61" s="102"/>
      <c r="O61" s="103"/>
      <c r="P61" s="102"/>
      <c r="Q61" s="102"/>
      <c r="R61" s="102"/>
    </row>
    <row r="62" spans="2:18" ht="12.75">
      <c r="B62" s="102" t="s">
        <v>30</v>
      </c>
      <c r="C62" s="102"/>
      <c r="D62" s="102"/>
      <c r="E62" s="102"/>
      <c r="F62" s="103"/>
      <c r="G62" s="102"/>
      <c r="H62" s="102"/>
      <c r="I62" s="104" t="str">
        <f>IF(G51&gt;=E31,"OK","Check Preference")</f>
        <v>OK</v>
      </c>
      <c r="J62" s="105"/>
      <c r="K62" s="104"/>
      <c r="L62" s="104"/>
      <c r="M62" s="104"/>
      <c r="N62" s="104"/>
      <c r="O62" s="105"/>
      <c r="P62" s="104"/>
      <c r="Q62" s="104"/>
      <c r="R62" s="104" t="str">
        <f>IF(P51&gt;=N31,"OK","Check Preference")</f>
        <v>OK</v>
      </c>
    </row>
    <row r="63" spans="2:18" ht="12.75">
      <c r="B63" s="102" t="s">
        <v>13</v>
      </c>
      <c r="C63" s="102"/>
      <c r="D63" s="102"/>
      <c r="E63" s="102"/>
      <c r="F63" s="103"/>
      <c r="G63" s="102"/>
      <c r="H63" s="102"/>
      <c r="I63" s="104" t="str">
        <f>IF(G52&gt;=E36,"OK","Check Preference")</f>
        <v>OK</v>
      </c>
      <c r="J63" s="105"/>
      <c r="K63" s="104"/>
      <c r="L63" s="104"/>
      <c r="M63" s="104"/>
      <c r="N63" s="104"/>
      <c r="O63" s="105"/>
      <c r="P63" s="104"/>
      <c r="Q63" s="104"/>
      <c r="R63" s="104" t="str">
        <f>IF(P52&gt;=N36,"OK","Check Conversion")</f>
        <v>OK</v>
      </c>
    </row>
  </sheetData>
  <sheetProtection/>
  <printOptions/>
  <pageMargins left="0.5" right="0.5" top="0.5" bottom="0.5" header="0.5" footer="0.5"/>
  <pageSetup fitToHeight="1" fitToWidth="1" horizontalDpi="600" verticalDpi="600" orientation="landscape" scale="5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68"/>
  <sheetViews>
    <sheetView showGridLines="0" zoomScaleSheetLayoutView="130" workbookViewId="0" topLeftCell="A1">
      <selection activeCell="L3" sqref="L3"/>
    </sheetView>
  </sheetViews>
  <sheetFormatPr defaultColWidth="9.140625" defaultRowHeight="12.75"/>
  <cols>
    <col min="1" max="1" width="2.421875" style="3" customWidth="1"/>
    <col min="2" max="2" width="31.00390625" style="3" customWidth="1"/>
    <col min="3" max="3" width="12.421875" style="3" customWidth="1"/>
    <col min="4" max="5" width="11.8515625" style="3" customWidth="1"/>
    <col min="6" max="6" width="1.7109375" style="0" customWidth="1"/>
    <col min="7" max="7" width="11.8515625" style="3" customWidth="1"/>
    <col min="8" max="8" width="13.8515625" style="3" customWidth="1"/>
    <col min="9" max="9" width="13.28125" style="3" customWidth="1"/>
    <col min="10" max="10" width="1.421875" style="0" customWidth="1"/>
    <col min="11" max="14" width="13.28125" style="3" customWidth="1"/>
    <col min="15" max="15" width="1.421875" style="0" customWidth="1"/>
    <col min="16" max="18" width="13.28125" style="3" customWidth="1"/>
    <col min="19" max="19" width="1.421875" style="0" customWidth="1"/>
    <col min="20" max="21" width="13.421875" style="3" customWidth="1"/>
    <col min="22" max="22" width="10.28125" style="3" bestFit="1" customWidth="1"/>
    <col min="23" max="23" width="9.140625" style="3" customWidth="1"/>
    <col min="24" max="24" width="1.421875" style="0" customWidth="1"/>
    <col min="25" max="16384" width="9.140625" style="3" customWidth="1"/>
  </cols>
  <sheetData>
    <row r="2" ht="18">
      <c r="B2" s="4" t="s">
        <v>39</v>
      </c>
    </row>
    <row r="3" spans="2:20" ht="18">
      <c r="B3" s="5"/>
      <c r="C3" s="5"/>
      <c r="D3" s="5"/>
      <c r="E3" s="5"/>
      <c r="G3" s="5"/>
      <c r="H3" s="5"/>
      <c r="I3" s="5"/>
      <c r="K3" s="5"/>
      <c r="L3" s="5"/>
      <c r="M3" s="5"/>
      <c r="N3" s="5"/>
      <c r="P3" s="5"/>
      <c r="Q3" s="5"/>
      <c r="R3" s="5"/>
      <c r="T3" s="5"/>
    </row>
    <row r="4" spans="2:13" ht="15">
      <c r="B4" s="13" t="s">
        <v>10</v>
      </c>
      <c r="C4" s="12"/>
      <c r="H4" s="14"/>
      <c r="M4" s="14"/>
    </row>
    <row r="5" spans="2:23" ht="12.75">
      <c r="B5" s="73" t="s">
        <v>36</v>
      </c>
      <c r="C5" s="73"/>
      <c r="D5" s="73"/>
      <c r="E5" s="73"/>
      <c r="G5" s="73" t="s">
        <v>41</v>
      </c>
      <c r="H5" s="73"/>
      <c r="I5" s="73"/>
      <c r="K5" s="73" t="s">
        <v>34</v>
      </c>
      <c r="L5" s="73"/>
      <c r="M5" s="73"/>
      <c r="N5" s="73"/>
      <c r="P5" s="73" t="s">
        <v>41</v>
      </c>
      <c r="Q5" s="73"/>
      <c r="R5" s="73"/>
      <c r="T5" s="73" t="s">
        <v>35</v>
      </c>
      <c r="U5" s="73"/>
      <c r="V5" s="73"/>
      <c r="W5" s="73"/>
    </row>
    <row r="6" spans="2:23" ht="12.75">
      <c r="B6" s="14"/>
      <c r="C6" s="15"/>
      <c r="D6" s="15"/>
      <c r="E6" s="15"/>
      <c r="H6" s="15" t="s">
        <v>11</v>
      </c>
      <c r="I6" s="15"/>
      <c r="K6" s="15" t="s">
        <v>13</v>
      </c>
      <c r="L6" s="15" t="s">
        <v>13</v>
      </c>
      <c r="M6" s="15" t="s">
        <v>12</v>
      </c>
      <c r="N6" s="15"/>
      <c r="Q6" s="15" t="s">
        <v>11</v>
      </c>
      <c r="R6" s="15"/>
      <c r="T6" s="15" t="s">
        <v>30</v>
      </c>
      <c r="U6" s="15" t="s">
        <v>30</v>
      </c>
      <c r="V6" s="15" t="s">
        <v>12</v>
      </c>
      <c r="W6" s="15"/>
    </row>
    <row r="7" spans="2:25" ht="12.75">
      <c r="B7" s="16"/>
      <c r="C7" s="17" t="s">
        <v>1</v>
      </c>
      <c r="D7" s="17" t="s">
        <v>0</v>
      </c>
      <c r="E7" s="17" t="s">
        <v>3</v>
      </c>
      <c r="G7" s="17" t="s">
        <v>5</v>
      </c>
      <c r="H7" s="17" t="s">
        <v>0</v>
      </c>
      <c r="I7" s="17" t="s">
        <v>3</v>
      </c>
      <c r="K7" s="17" t="s">
        <v>27</v>
      </c>
      <c r="L7" s="17" t="s">
        <v>2</v>
      </c>
      <c r="M7" s="17" t="s">
        <v>0</v>
      </c>
      <c r="N7" s="18" t="s">
        <v>3</v>
      </c>
      <c r="P7" s="17" t="s">
        <v>5</v>
      </c>
      <c r="Q7" s="17" t="s">
        <v>0</v>
      </c>
      <c r="R7" s="17" t="s">
        <v>3</v>
      </c>
      <c r="T7" s="17" t="s">
        <v>27</v>
      </c>
      <c r="U7" s="17" t="s">
        <v>2</v>
      </c>
      <c r="V7" s="17" t="s">
        <v>0</v>
      </c>
      <c r="W7" s="18" t="s">
        <v>3</v>
      </c>
      <c r="Y7" s="16" t="s">
        <v>51</v>
      </c>
    </row>
    <row r="8" spans="2:25" s="6" customFormat="1" ht="12.75">
      <c r="B8" s="6" t="s">
        <v>24</v>
      </c>
      <c r="C8" s="68">
        <v>1000000</v>
      </c>
      <c r="D8" s="7">
        <f aca="true" t="shared" si="0" ref="D8:D13">SUM(C8:C8)</f>
        <v>1000000</v>
      </c>
      <c r="E8" s="21">
        <f aca="true" t="shared" si="1" ref="E8:E13">+D8/$D$14</f>
        <v>1</v>
      </c>
      <c r="F8"/>
      <c r="G8" s="20"/>
      <c r="H8" s="20">
        <f aca="true" t="shared" si="2" ref="H8:H13">G8+D8</f>
        <v>1000000</v>
      </c>
      <c r="I8" s="21">
        <f aca="true" t="shared" si="3" ref="I8:I13">H8/$H$14</f>
        <v>0.8</v>
      </c>
      <c r="J8"/>
      <c r="K8" s="21"/>
      <c r="L8" s="35"/>
      <c r="M8" s="28">
        <f aca="true" t="shared" si="4" ref="M8:M13">H8+L8</f>
        <v>1000000</v>
      </c>
      <c r="N8" s="21">
        <f aca="true" t="shared" si="5" ref="N8:N13">+M8/$M$14</f>
        <v>0.6</v>
      </c>
      <c r="O8"/>
      <c r="P8" s="20"/>
      <c r="Q8" s="20">
        <f aca="true" t="shared" si="6" ref="Q8:Q13">P8+M8</f>
        <v>1000000</v>
      </c>
      <c r="R8" s="21">
        <f aca="true" t="shared" si="7" ref="R8:R13">Q8/$Q$14</f>
        <v>0.547145723144264</v>
      </c>
      <c r="S8"/>
      <c r="T8" s="21"/>
      <c r="U8" s="35"/>
      <c r="V8" s="28">
        <f aca="true" t="shared" si="8" ref="V8:V13">Q8+U8</f>
        <v>1000000</v>
      </c>
      <c r="W8" s="21">
        <f aca="true" t="shared" si="9" ref="W8:W13">+V8/$V$14</f>
        <v>0.3647638154295094</v>
      </c>
      <c r="X8"/>
      <c r="Y8" s="21">
        <f aca="true" t="shared" si="10" ref="Y8:Y13">(L8+U8)/($L$14+$U$14)</f>
        <v>0</v>
      </c>
    </row>
    <row r="9" spans="2:25" s="6" customFormat="1" ht="12.75">
      <c r="B9" s="22" t="s">
        <v>26</v>
      </c>
      <c r="C9" s="19"/>
      <c r="D9" s="7">
        <f t="shared" si="0"/>
        <v>0</v>
      </c>
      <c r="E9" s="21">
        <f t="shared" si="1"/>
        <v>0</v>
      </c>
      <c r="F9"/>
      <c r="G9" s="20"/>
      <c r="H9" s="20">
        <f t="shared" si="2"/>
        <v>0</v>
      </c>
      <c r="I9" s="21">
        <f t="shared" si="3"/>
        <v>0</v>
      </c>
      <c r="J9"/>
      <c r="K9" s="21"/>
      <c r="L9" s="35"/>
      <c r="M9" s="28">
        <f t="shared" si="4"/>
        <v>0</v>
      </c>
      <c r="N9" s="21">
        <f t="shared" si="5"/>
        <v>0</v>
      </c>
      <c r="O9"/>
      <c r="P9" s="20"/>
      <c r="Q9" s="20">
        <f t="shared" si="6"/>
        <v>0</v>
      </c>
      <c r="R9" s="21">
        <f t="shared" si="7"/>
        <v>0</v>
      </c>
      <c r="S9"/>
      <c r="T9" s="21"/>
      <c r="U9" s="35"/>
      <c r="V9" s="28">
        <f t="shared" si="8"/>
        <v>0</v>
      </c>
      <c r="W9" s="21">
        <f t="shared" si="9"/>
        <v>0</v>
      </c>
      <c r="X9"/>
      <c r="Y9" s="21">
        <f t="shared" si="10"/>
        <v>0</v>
      </c>
    </row>
    <row r="10" spans="2:25" s="6" customFormat="1" ht="12.75">
      <c r="B10" s="22" t="s">
        <v>25</v>
      </c>
      <c r="C10" s="58"/>
      <c r="D10" s="7">
        <f t="shared" si="0"/>
        <v>0</v>
      </c>
      <c r="E10" s="21">
        <f t="shared" si="1"/>
        <v>0</v>
      </c>
      <c r="F10"/>
      <c r="G10" s="68">
        <v>250000</v>
      </c>
      <c r="H10" s="20">
        <f t="shared" si="2"/>
        <v>250000</v>
      </c>
      <c r="I10" s="21">
        <f t="shared" si="3"/>
        <v>0.2</v>
      </c>
      <c r="J10"/>
      <c r="K10" s="21"/>
      <c r="L10" s="36"/>
      <c r="M10" s="28">
        <f t="shared" si="4"/>
        <v>250000</v>
      </c>
      <c r="N10" s="21">
        <f t="shared" si="5"/>
        <v>0.15</v>
      </c>
      <c r="O10"/>
      <c r="P10" s="68">
        <v>161000</v>
      </c>
      <c r="Q10" s="20">
        <f t="shared" si="6"/>
        <v>411000</v>
      </c>
      <c r="R10" s="21">
        <f t="shared" si="7"/>
        <v>0.22487689221229254</v>
      </c>
      <c r="S10"/>
      <c r="T10" s="21"/>
      <c r="U10" s="36"/>
      <c r="V10" s="28">
        <f t="shared" si="8"/>
        <v>411000</v>
      </c>
      <c r="W10" s="21">
        <f t="shared" si="9"/>
        <v>0.14991792814152835</v>
      </c>
      <c r="X10"/>
      <c r="Y10" s="21">
        <f t="shared" si="10"/>
        <v>0</v>
      </c>
    </row>
    <row r="11" spans="2:25" s="6" customFormat="1" ht="12.75">
      <c r="B11" s="22" t="s">
        <v>14</v>
      </c>
      <c r="C11" s="58"/>
      <c r="D11" s="7">
        <f t="shared" si="0"/>
        <v>0</v>
      </c>
      <c r="E11" s="21">
        <f t="shared" si="1"/>
        <v>0</v>
      </c>
      <c r="F11"/>
      <c r="G11" s="20"/>
      <c r="H11" s="20">
        <f t="shared" si="2"/>
        <v>0</v>
      </c>
      <c r="I11" s="21">
        <f t="shared" si="3"/>
        <v>0</v>
      </c>
      <c r="J11"/>
      <c r="K11" s="67">
        <v>1000000</v>
      </c>
      <c r="L11" s="37">
        <f>K11/$K$17</f>
        <v>416666.6666666667</v>
      </c>
      <c r="M11" s="28">
        <f t="shared" si="4"/>
        <v>416666.6666666667</v>
      </c>
      <c r="N11" s="21">
        <f t="shared" si="5"/>
        <v>0.25</v>
      </c>
      <c r="O11"/>
      <c r="P11" s="20"/>
      <c r="Q11" s="20">
        <f t="shared" si="6"/>
        <v>416666.6666666667</v>
      </c>
      <c r="R11" s="21">
        <f t="shared" si="7"/>
        <v>0.22797738464344336</v>
      </c>
      <c r="S11"/>
      <c r="T11" s="67">
        <v>1000000</v>
      </c>
      <c r="U11" s="37">
        <f>T11/$T$17</f>
        <v>182766.66666666666</v>
      </c>
      <c r="V11" s="28">
        <f t="shared" si="8"/>
        <v>599433.3333333334</v>
      </c>
      <c r="W11" s="21">
        <f t="shared" si="9"/>
        <v>0.2186515897622956</v>
      </c>
      <c r="X11"/>
      <c r="Y11" s="21">
        <f t="shared" si="10"/>
        <v>0.4505323813102844</v>
      </c>
    </row>
    <row r="12" spans="2:25" s="6" customFormat="1" ht="12.75">
      <c r="B12" s="22" t="s">
        <v>15</v>
      </c>
      <c r="C12" s="58"/>
      <c r="D12" s="7">
        <f t="shared" si="0"/>
        <v>0</v>
      </c>
      <c r="E12" s="21">
        <f t="shared" si="1"/>
        <v>0</v>
      </c>
      <c r="F12"/>
      <c r="G12" s="20"/>
      <c r="H12" s="20">
        <f t="shared" si="2"/>
        <v>0</v>
      </c>
      <c r="I12" s="21">
        <f t="shared" si="3"/>
        <v>0</v>
      </c>
      <c r="J12"/>
      <c r="K12" s="44">
        <v>0</v>
      </c>
      <c r="L12" s="37">
        <f>K12/$K$17</f>
        <v>0</v>
      </c>
      <c r="M12" s="28">
        <f t="shared" si="4"/>
        <v>0</v>
      </c>
      <c r="N12" s="21">
        <f t="shared" si="5"/>
        <v>0</v>
      </c>
      <c r="O12"/>
      <c r="P12" s="20"/>
      <c r="Q12" s="20">
        <f t="shared" si="6"/>
        <v>0</v>
      </c>
      <c r="R12" s="21">
        <f t="shared" si="7"/>
        <v>0</v>
      </c>
      <c r="S12"/>
      <c r="T12" s="67">
        <v>4000000</v>
      </c>
      <c r="U12" s="37">
        <f>T12/$T$17</f>
        <v>731066.6666666666</v>
      </c>
      <c r="V12" s="28">
        <f t="shared" si="8"/>
        <v>731066.6666666666</v>
      </c>
      <c r="W12" s="21">
        <f t="shared" si="9"/>
        <v>0.26666666666666666</v>
      </c>
      <c r="X12"/>
      <c r="Y12" s="21">
        <f t="shared" si="10"/>
        <v>0.5494676186897156</v>
      </c>
    </row>
    <row r="13" spans="2:25" s="6" customFormat="1" ht="12.75">
      <c r="B13" s="59" t="s">
        <v>29</v>
      </c>
      <c r="C13" s="72"/>
      <c r="D13" s="11">
        <f t="shared" si="0"/>
        <v>0</v>
      </c>
      <c r="E13" s="38">
        <f t="shared" si="1"/>
        <v>0</v>
      </c>
      <c r="F13"/>
      <c r="G13" s="39"/>
      <c r="H13" s="40">
        <f t="shared" si="2"/>
        <v>0</v>
      </c>
      <c r="I13" s="38">
        <f t="shared" si="3"/>
        <v>0</v>
      </c>
      <c r="J13"/>
      <c r="K13" s="45">
        <v>0</v>
      </c>
      <c r="L13" s="37">
        <f>K13/$K$17</f>
        <v>0</v>
      </c>
      <c r="M13" s="24">
        <f t="shared" si="4"/>
        <v>0</v>
      </c>
      <c r="N13" s="21">
        <f t="shared" si="5"/>
        <v>0</v>
      </c>
      <c r="O13"/>
      <c r="P13" s="39"/>
      <c r="Q13" s="40">
        <f t="shared" si="6"/>
        <v>0</v>
      </c>
      <c r="R13" s="38">
        <f t="shared" si="7"/>
        <v>0</v>
      </c>
      <c r="S13"/>
      <c r="T13" s="45">
        <v>0</v>
      </c>
      <c r="U13" s="37">
        <f>T13/$T$17</f>
        <v>0</v>
      </c>
      <c r="V13" s="24">
        <f t="shared" si="8"/>
        <v>0</v>
      </c>
      <c r="W13" s="21">
        <f t="shared" si="9"/>
        <v>0</v>
      </c>
      <c r="X13"/>
      <c r="Y13" s="21">
        <f t="shared" si="10"/>
        <v>0</v>
      </c>
    </row>
    <row r="14" spans="2:25" s="6" customFormat="1" ht="12.75">
      <c r="B14" s="6" t="s">
        <v>0</v>
      </c>
      <c r="C14" s="25">
        <f aca="true" t="shared" si="11" ref="C14:W14">SUM(C8:C13)</f>
        <v>1000000</v>
      </c>
      <c r="D14" s="7">
        <f t="shared" si="11"/>
        <v>1000000</v>
      </c>
      <c r="E14" s="21">
        <f t="shared" si="11"/>
        <v>1</v>
      </c>
      <c r="F14"/>
      <c r="G14" s="25">
        <f t="shared" si="11"/>
        <v>250000</v>
      </c>
      <c r="H14" s="7">
        <f t="shared" si="11"/>
        <v>1250000</v>
      </c>
      <c r="I14" s="41">
        <f t="shared" si="11"/>
        <v>1</v>
      </c>
      <c r="J14"/>
      <c r="K14" s="33">
        <f t="shared" si="11"/>
        <v>1000000</v>
      </c>
      <c r="L14" s="42">
        <f t="shared" si="11"/>
        <v>416666.6666666667</v>
      </c>
      <c r="M14" s="28">
        <f t="shared" si="11"/>
        <v>1666666.6666666667</v>
      </c>
      <c r="N14" s="43">
        <f t="shared" si="11"/>
        <v>1</v>
      </c>
      <c r="O14"/>
      <c r="P14" s="25">
        <f t="shared" si="11"/>
        <v>161000</v>
      </c>
      <c r="Q14" s="7">
        <f t="shared" si="11"/>
        <v>1827666.6666666667</v>
      </c>
      <c r="R14" s="41">
        <f t="shared" si="11"/>
        <v>1</v>
      </c>
      <c r="S14"/>
      <c r="T14" s="33">
        <f t="shared" si="11"/>
        <v>5000000</v>
      </c>
      <c r="U14" s="42">
        <f t="shared" si="11"/>
        <v>913833.3333333333</v>
      </c>
      <c r="V14" s="28">
        <f t="shared" si="11"/>
        <v>2741500</v>
      </c>
      <c r="W14" s="43">
        <f t="shared" si="11"/>
        <v>1</v>
      </c>
      <c r="X14"/>
      <c r="Y14" s="43">
        <f>SUM(Y8:Y13)</f>
        <v>1</v>
      </c>
    </row>
    <row r="15" spans="3:23" ht="12.75">
      <c r="C15" s="7"/>
      <c r="D15" s="7"/>
      <c r="E15" s="7"/>
      <c r="G15" s="10"/>
      <c r="H15" s="10"/>
      <c r="I15" s="23"/>
      <c r="K15" s="23"/>
      <c r="L15" s="10"/>
      <c r="M15" s="27"/>
      <c r="N15" s="7"/>
      <c r="P15" s="7"/>
      <c r="Q15" s="7"/>
      <c r="R15" s="7"/>
      <c r="T15" s="23"/>
      <c r="U15" s="21"/>
      <c r="V15" s="27"/>
      <c r="W15" s="7"/>
    </row>
    <row r="16" spans="2:20" ht="12.75">
      <c r="B16" s="3" t="s">
        <v>7</v>
      </c>
      <c r="H16" t="s">
        <v>55</v>
      </c>
      <c r="I16" s="33">
        <f>K17*D14</f>
        <v>2400000</v>
      </c>
      <c r="K16" s="67">
        <v>3000000</v>
      </c>
      <c r="Q16" t="s">
        <v>55</v>
      </c>
      <c r="R16" s="33">
        <f>T17*M14</f>
        <v>9119095.385737736</v>
      </c>
      <c r="T16" s="67">
        <v>10000000</v>
      </c>
    </row>
    <row r="17" spans="2:24" ht="12.75">
      <c r="B17" s="3" t="s">
        <v>6</v>
      </c>
      <c r="D17" s="29"/>
      <c r="E17" s="29"/>
      <c r="G17" s="30"/>
      <c r="K17" s="64">
        <f>K16/H14</f>
        <v>2.4</v>
      </c>
      <c r="L17" s="65"/>
      <c r="M17" s="65"/>
      <c r="N17" s="65"/>
      <c r="O17" s="74"/>
      <c r="P17" s="65"/>
      <c r="Q17" s="65"/>
      <c r="R17" s="65"/>
      <c r="S17" s="74"/>
      <c r="T17" s="64">
        <f>T16/Q14</f>
        <v>5.471457231442641</v>
      </c>
      <c r="X17" s="74"/>
    </row>
    <row r="18" spans="2:20" ht="12.75">
      <c r="B18" s="3" t="s">
        <v>9</v>
      </c>
      <c r="D18" s="31"/>
      <c r="E18" s="31"/>
      <c r="G18" s="32"/>
      <c r="K18" s="33">
        <f>K14</f>
        <v>1000000</v>
      </c>
      <c r="T18" s="33">
        <f>T14</f>
        <v>5000000</v>
      </c>
    </row>
    <row r="19" spans="2:20" ht="12.75">
      <c r="B19" s="3" t="s">
        <v>28</v>
      </c>
      <c r="D19" s="31"/>
      <c r="E19" s="31"/>
      <c r="G19" s="32"/>
      <c r="K19" s="33">
        <f>K16+K18</f>
        <v>4000000</v>
      </c>
      <c r="T19" s="33">
        <f>T16+T18</f>
        <v>15000000</v>
      </c>
    </row>
    <row r="20" spans="2:20" ht="12.75">
      <c r="B20" s="3" t="s">
        <v>21</v>
      </c>
      <c r="D20" s="31"/>
      <c r="E20" s="31"/>
      <c r="G20" s="32"/>
      <c r="K20" s="69">
        <v>39994</v>
      </c>
      <c r="T20" s="69">
        <v>40359</v>
      </c>
    </row>
    <row r="21" spans="8:18" ht="12.75">
      <c r="H21" s="34"/>
      <c r="I21" s="34"/>
      <c r="K21" s="34"/>
      <c r="L21" s="34"/>
      <c r="M21" s="34"/>
      <c r="N21" s="34"/>
      <c r="P21" s="34"/>
      <c r="Q21" s="34"/>
      <c r="R21" s="34"/>
    </row>
    <row r="22" spans="2:18" ht="15">
      <c r="B22" s="13" t="s">
        <v>16</v>
      </c>
      <c r="H22" s="34"/>
      <c r="I22" s="34"/>
      <c r="K22" s="34"/>
      <c r="L22" s="34"/>
      <c r="M22" s="34"/>
      <c r="N22" s="34"/>
      <c r="P22" s="34"/>
      <c r="Q22" s="34"/>
      <c r="R22" s="34"/>
    </row>
    <row r="23" spans="8:18" ht="12.75">
      <c r="H23" s="34"/>
      <c r="I23" s="100" t="s">
        <v>43</v>
      </c>
      <c r="K23" s="34"/>
      <c r="L23" s="34"/>
      <c r="M23" s="34"/>
      <c r="N23" s="34"/>
      <c r="P23" s="34"/>
      <c r="Q23" s="34"/>
      <c r="R23" s="100" t="s">
        <v>44</v>
      </c>
    </row>
    <row r="24" spans="2:18" ht="12.75">
      <c r="B24" s="3" t="s">
        <v>17</v>
      </c>
      <c r="I24" s="70">
        <v>100000000</v>
      </c>
      <c r="K24" s="34"/>
      <c r="R24" s="70">
        <v>12000000</v>
      </c>
    </row>
    <row r="25" spans="2:18" ht="12.75">
      <c r="B25" s="3" t="s">
        <v>49</v>
      </c>
      <c r="I25" s="66">
        <f>I24/V14</f>
        <v>36.47638154295094</v>
      </c>
      <c r="K25" s="34"/>
      <c r="R25" s="66">
        <f>R24/V14</f>
        <v>4.377165785154113</v>
      </c>
    </row>
    <row r="26" spans="2:18" ht="12.75">
      <c r="B26" s="3" t="s">
        <v>20</v>
      </c>
      <c r="I26" s="47">
        <v>40724</v>
      </c>
      <c r="R26" s="47">
        <v>40724</v>
      </c>
    </row>
    <row r="28" spans="2:17" ht="12.75">
      <c r="B28" s="8" t="s">
        <v>18</v>
      </c>
      <c r="C28" s="78" t="s">
        <v>21</v>
      </c>
      <c r="D28" s="79" t="s">
        <v>19</v>
      </c>
      <c r="E28" s="79" t="s">
        <v>22</v>
      </c>
      <c r="F28" s="80"/>
      <c r="G28" s="79" t="s">
        <v>8</v>
      </c>
      <c r="H28" s="81"/>
      <c r="K28" s="56"/>
      <c r="L28" s="78" t="s">
        <v>21</v>
      </c>
      <c r="M28" s="79" t="s">
        <v>19</v>
      </c>
      <c r="N28" s="79" t="s">
        <v>22</v>
      </c>
      <c r="O28" s="80"/>
      <c r="P28" s="79" t="s">
        <v>8</v>
      </c>
      <c r="Q28" s="81"/>
    </row>
    <row r="29" spans="2:18" ht="12.75">
      <c r="B29" s="3" t="s">
        <v>50</v>
      </c>
      <c r="C29" s="82"/>
      <c r="D29" s="83"/>
      <c r="E29" s="84">
        <f>T17</f>
        <v>5.471457231442641</v>
      </c>
      <c r="F29" s="1"/>
      <c r="G29" s="85">
        <f>U14</f>
        <v>913833.3333333333</v>
      </c>
      <c r="H29" s="86">
        <f>E29*G29</f>
        <v>5000000</v>
      </c>
      <c r="I29" s="33"/>
      <c r="K29" s="58"/>
      <c r="L29" s="82"/>
      <c r="M29" s="83"/>
      <c r="N29" s="84">
        <f>T17</f>
        <v>5.471457231442641</v>
      </c>
      <c r="O29" s="1"/>
      <c r="P29" s="85">
        <f>U14</f>
        <v>913833.3333333333</v>
      </c>
      <c r="Q29" s="86">
        <f>N29*P29</f>
        <v>5000000</v>
      </c>
      <c r="R29" s="33"/>
    </row>
    <row r="30" spans="2:17" ht="15.75">
      <c r="B30" s="3" t="s">
        <v>31</v>
      </c>
      <c r="C30" s="87">
        <f>T20</f>
        <v>40359</v>
      </c>
      <c r="D30" s="76">
        <v>0</v>
      </c>
      <c r="E30" s="77">
        <f>((I26-C30)/365)*D30*E29</f>
        <v>0</v>
      </c>
      <c r="F30" s="1"/>
      <c r="G30" s="85">
        <f>G29</f>
        <v>913833.3333333333</v>
      </c>
      <c r="H30" s="88">
        <f>E30*G30</f>
        <v>0</v>
      </c>
      <c r="K30" s="6"/>
      <c r="L30" s="87">
        <f>T20</f>
        <v>40359</v>
      </c>
      <c r="M30" s="76">
        <v>0</v>
      </c>
      <c r="N30" s="77">
        <f>((R26-L30)/365)*M30*N29</f>
        <v>0</v>
      </c>
      <c r="O30" s="1"/>
      <c r="P30" s="85">
        <f>P29</f>
        <v>913833.3333333333</v>
      </c>
      <c r="Q30" s="88">
        <f>N30*P30</f>
        <v>0</v>
      </c>
    </row>
    <row r="31" spans="2:18" ht="12.75">
      <c r="B31" s="3" t="s">
        <v>45</v>
      </c>
      <c r="C31" s="82"/>
      <c r="D31" s="83"/>
      <c r="E31" s="84">
        <f>SUM(E29:E30)</f>
        <v>5.471457231442641</v>
      </c>
      <c r="F31" s="1"/>
      <c r="G31" s="85"/>
      <c r="H31" s="89">
        <f>SUM(H29:H30)</f>
        <v>5000000</v>
      </c>
      <c r="I31" s="46">
        <f>IF(E32,0,H31)</f>
        <v>5000000</v>
      </c>
      <c r="L31" s="82"/>
      <c r="M31" s="83"/>
      <c r="N31" s="84">
        <f>SUM(N29:N30)</f>
        <v>5.471457231442641</v>
      </c>
      <c r="O31" s="1"/>
      <c r="P31" s="85"/>
      <c r="Q31" s="89">
        <f>SUM(Q29:Q30)</f>
        <v>5000000</v>
      </c>
      <c r="R31" s="46">
        <f>IF(N32,0,Q31)</f>
        <v>5000000</v>
      </c>
    </row>
    <row r="32" spans="2:17" ht="12.75">
      <c r="B32" s="3" t="s">
        <v>40</v>
      </c>
      <c r="C32" s="82"/>
      <c r="D32" s="83"/>
      <c r="E32" s="71" t="b">
        <v>0</v>
      </c>
      <c r="F32" s="1"/>
      <c r="G32" s="85"/>
      <c r="H32" s="89"/>
      <c r="K32"/>
      <c r="L32" s="82"/>
      <c r="M32" s="83"/>
      <c r="N32" s="71" t="b">
        <v>0</v>
      </c>
      <c r="O32" s="1"/>
      <c r="P32" s="85"/>
      <c r="Q32" s="89"/>
    </row>
    <row r="33" spans="3:18" ht="12.75">
      <c r="C33" s="82"/>
      <c r="D33" s="83"/>
      <c r="E33" s="84"/>
      <c r="F33" s="1"/>
      <c r="G33" s="85"/>
      <c r="H33" s="89"/>
      <c r="I33" s="46"/>
      <c r="K33" s="57"/>
      <c r="L33" s="82"/>
      <c r="M33" s="83"/>
      <c r="N33" s="84"/>
      <c r="O33" s="1"/>
      <c r="P33" s="85"/>
      <c r="Q33" s="89"/>
      <c r="R33" s="46"/>
    </row>
    <row r="34" spans="2:18" ht="12.75">
      <c r="B34" s="3" t="s">
        <v>57</v>
      </c>
      <c r="C34" s="82"/>
      <c r="D34" s="83"/>
      <c r="E34" s="84">
        <f>K17</f>
        <v>2.4</v>
      </c>
      <c r="F34" s="1"/>
      <c r="G34" s="85">
        <f>L14</f>
        <v>416666.6666666667</v>
      </c>
      <c r="H34" s="86">
        <f>E34*G34</f>
        <v>1000000</v>
      </c>
      <c r="I34" s="33"/>
      <c r="K34" s="57"/>
      <c r="L34" s="82"/>
      <c r="M34" s="83"/>
      <c r="N34" s="84">
        <f>K17</f>
        <v>2.4</v>
      </c>
      <c r="O34" s="1"/>
      <c r="P34" s="85">
        <f>L14</f>
        <v>416666.6666666667</v>
      </c>
      <c r="Q34" s="86">
        <f>N34*P34</f>
        <v>1000000</v>
      </c>
      <c r="R34" s="33"/>
    </row>
    <row r="35" spans="2:17" ht="15.75">
      <c r="B35" s="3" t="s">
        <v>23</v>
      </c>
      <c r="C35" s="87">
        <f>K20</f>
        <v>39994</v>
      </c>
      <c r="D35" s="76">
        <v>0</v>
      </c>
      <c r="E35" s="77">
        <f>((I26-C35)/365)*D35*E34</f>
        <v>0</v>
      </c>
      <c r="F35" s="1"/>
      <c r="G35" s="85">
        <f>G34</f>
        <v>416666.6666666667</v>
      </c>
      <c r="H35" s="88">
        <f>E35*G35</f>
        <v>0</v>
      </c>
      <c r="K35" s="57"/>
      <c r="L35" s="87">
        <f>K20</f>
        <v>39994</v>
      </c>
      <c r="M35" s="76">
        <v>0</v>
      </c>
      <c r="N35" s="77">
        <f>((R26-L35)/365)*M35*N34</f>
        <v>0</v>
      </c>
      <c r="O35" s="1"/>
      <c r="P35" s="85">
        <f>P34</f>
        <v>416666.6666666667</v>
      </c>
      <c r="Q35" s="88">
        <f>N35*P35</f>
        <v>0</v>
      </c>
    </row>
    <row r="36" spans="2:18" ht="15.75">
      <c r="B36" s="3" t="s">
        <v>38</v>
      </c>
      <c r="C36" s="82"/>
      <c r="D36" s="83"/>
      <c r="E36" s="84">
        <f>SUM(E34:E35)</f>
        <v>2.4</v>
      </c>
      <c r="F36" s="1"/>
      <c r="G36" s="85"/>
      <c r="H36" s="89">
        <f>SUM(H34:H35)</f>
        <v>1000000</v>
      </c>
      <c r="I36" s="55">
        <f>IF(E37,0,H36)</f>
        <v>0</v>
      </c>
      <c r="L36" s="82"/>
      <c r="M36" s="83"/>
      <c r="N36" s="84">
        <f>SUM(N34:N35)</f>
        <v>2.4</v>
      </c>
      <c r="O36" s="1"/>
      <c r="P36" s="85"/>
      <c r="Q36" s="89">
        <f>SUM(Q34:Q35)</f>
        <v>1000000</v>
      </c>
      <c r="R36" s="55">
        <f>IF(N37,0,Q36)</f>
        <v>0</v>
      </c>
    </row>
    <row r="37" spans="2:17" ht="12.75">
      <c r="B37" s="3" t="s">
        <v>40</v>
      </c>
      <c r="C37" s="95"/>
      <c r="D37" s="96"/>
      <c r="E37" s="71" t="b">
        <v>1</v>
      </c>
      <c r="F37" s="97"/>
      <c r="G37" s="98"/>
      <c r="H37" s="99"/>
      <c r="K37"/>
      <c r="L37" s="90"/>
      <c r="M37" s="91"/>
      <c r="N37" s="71" t="b">
        <v>1</v>
      </c>
      <c r="O37" s="92"/>
      <c r="P37" s="93"/>
      <c r="Q37" s="94"/>
    </row>
    <row r="38" spans="3:18" ht="15.75">
      <c r="C38" s="52"/>
      <c r="D38" s="52"/>
      <c r="E38"/>
      <c r="G38" s="53"/>
      <c r="H38" s="54"/>
      <c r="I38" s="55"/>
      <c r="K38"/>
      <c r="L38" s="52"/>
      <c r="M38" s="52"/>
      <c r="N38"/>
      <c r="P38" s="53"/>
      <c r="Q38" s="54"/>
      <c r="R38" s="55"/>
    </row>
    <row r="39" spans="2:18" ht="12.75">
      <c r="B39" s="3" t="s">
        <v>37</v>
      </c>
      <c r="I39" s="46">
        <f>SUM(I29:I36)</f>
        <v>5000000</v>
      </c>
      <c r="K39" s="6"/>
      <c r="R39" s="46">
        <f>SUM(R29:R36)</f>
        <v>5000000</v>
      </c>
    </row>
    <row r="40" spans="9:18" ht="12.75">
      <c r="I40" s="46"/>
      <c r="K40" s="6"/>
      <c r="R40" s="46"/>
    </row>
    <row r="41" spans="2:18" ht="12.75">
      <c r="B41" s="3" t="s">
        <v>47</v>
      </c>
      <c r="I41" s="63">
        <f>I24-I39</f>
        <v>95000000</v>
      </c>
      <c r="K41" s="6"/>
      <c r="R41" s="63">
        <f>R24-R39</f>
        <v>7000000</v>
      </c>
    </row>
    <row r="42" ht="12.75">
      <c r="K42" s="6"/>
    </row>
    <row r="43" spans="2:17" ht="12.75">
      <c r="B43" s="8" t="s">
        <v>48</v>
      </c>
      <c r="E43" s="101"/>
      <c r="G43" s="61" t="s">
        <v>8</v>
      </c>
      <c r="H43" s="61" t="s">
        <v>32</v>
      </c>
      <c r="N43"/>
      <c r="P43" s="61" t="s">
        <v>8</v>
      </c>
      <c r="Q43" s="61" t="s">
        <v>32</v>
      </c>
    </row>
    <row r="44" spans="2:18" ht="12.75">
      <c r="B44" s="3" t="s">
        <v>30</v>
      </c>
      <c r="E44"/>
      <c r="G44" s="48">
        <f>G29</f>
        <v>913833.3333333333</v>
      </c>
      <c r="H44" s="9">
        <f>G44/$G$48</f>
        <v>0.3333333333333333</v>
      </c>
      <c r="I44" s="46">
        <f>H44*$I$41</f>
        <v>31666666.666666664</v>
      </c>
      <c r="N44"/>
      <c r="P44" s="48">
        <f>P29</f>
        <v>913833.3333333333</v>
      </c>
      <c r="Q44" s="9">
        <f>P44/$P$48</f>
        <v>0.3333333333333333</v>
      </c>
      <c r="R44" s="46">
        <f>Q44*$R$41</f>
        <v>2333333.333333333</v>
      </c>
    </row>
    <row r="45" spans="2:18" ht="12.75">
      <c r="B45" s="3" t="s">
        <v>13</v>
      </c>
      <c r="E45"/>
      <c r="G45" s="48">
        <f>IF(E37,G34,0)</f>
        <v>416666.6666666667</v>
      </c>
      <c r="H45" s="9">
        <f>G45/$G$48</f>
        <v>0.15198492309562892</v>
      </c>
      <c r="I45" s="46">
        <f>H45*$I$41</f>
        <v>14438567.694084747</v>
      </c>
      <c r="N45"/>
      <c r="P45" s="48">
        <f>IF(N37,P34,0)</f>
        <v>416666.6666666667</v>
      </c>
      <c r="Q45" s="9">
        <f>P45/$P$48</f>
        <v>0.15198492309562892</v>
      </c>
      <c r="R45" s="46">
        <f>Q45*$R$41</f>
        <v>1063894.4616694024</v>
      </c>
    </row>
    <row r="46" spans="2:18" ht="12.75">
      <c r="B46" s="3" t="s">
        <v>1</v>
      </c>
      <c r="G46" s="10">
        <f>C14</f>
        <v>1000000</v>
      </c>
      <c r="H46" s="9">
        <f>G46/$G$48</f>
        <v>0.3647638154295094</v>
      </c>
      <c r="I46" s="46">
        <f>H46*$I$41</f>
        <v>34652562.46580339</v>
      </c>
      <c r="K46" s="6"/>
      <c r="P46" s="10">
        <f>C14</f>
        <v>1000000</v>
      </c>
      <c r="Q46" s="9">
        <f>P46/$P$48</f>
        <v>0.3647638154295094</v>
      </c>
      <c r="R46" s="46">
        <f>Q46*$R$41</f>
        <v>2553346.708006566</v>
      </c>
    </row>
    <row r="47" spans="2:18" ht="12.75">
      <c r="B47" s="3" t="s">
        <v>4</v>
      </c>
      <c r="G47" s="49">
        <f>V9+V10</f>
        <v>411000</v>
      </c>
      <c r="H47" s="50">
        <f>G47/$G$48</f>
        <v>0.14991792814152835</v>
      </c>
      <c r="I47" s="51">
        <f>H47*$I$41</f>
        <v>14242203.173445193</v>
      </c>
      <c r="K47" s="6"/>
      <c r="P47" s="49">
        <f>V9+V10</f>
        <v>411000</v>
      </c>
      <c r="Q47" s="50">
        <f>P47/$P$48</f>
        <v>0.14991792814152835</v>
      </c>
      <c r="R47" s="51">
        <f>Q47*$R$41</f>
        <v>1049425.4969906984</v>
      </c>
    </row>
    <row r="48" spans="2:18" ht="12.75">
      <c r="B48" s="3" t="s">
        <v>0</v>
      </c>
      <c r="E48" s="66"/>
      <c r="G48" s="48">
        <f>SUM(G44:G47)</f>
        <v>2741500</v>
      </c>
      <c r="H48" s="26">
        <f>SUM(H44:H47)</f>
        <v>1</v>
      </c>
      <c r="I48" s="63">
        <f>SUM(I44:I47)</f>
        <v>95000000</v>
      </c>
      <c r="K48" s="6"/>
      <c r="N48" s="66"/>
      <c r="P48" s="48">
        <f>SUM(P44:P47)</f>
        <v>2741500</v>
      </c>
      <c r="Q48" s="26">
        <f>SUM(Q44:Q47)</f>
        <v>1</v>
      </c>
      <c r="R48" s="63">
        <f>SUM(R44:R47)</f>
        <v>6999999.999999999</v>
      </c>
    </row>
    <row r="50" spans="2:17" ht="12.75">
      <c r="B50" s="8" t="s">
        <v>33</v>
      </c>
      <c r="G50" s="61" t="s">
        <v>22</v>
      </c>
      <c r="H50" s="61" t="s">
        <v>32</v>
      </c>
      <c r="K50"/>
      <c r="P50" s="61" t="s">
        <v>22</v>
      </c>
      <c r="Q50" s="61" t="s">
        <v>32</v>
      </c>
    </row>
    <row r="51" spans="2:18" ht="12.75">
      <c r="B51" s="3" t="s">
        <v>30</v>
      </c>
      <c r="G51" s="64">
        <f>I51/G29</f>
        <v>40.124019697246034</v>
      </c>
      <c r="H51" s="9">
        <f>I51/$I$55</f>
        <v>0.36666666666666664</v>
      </c>
      <c r="I51" s="46">
        <f>I44+I31</f>
        <v>36666666.666666664</v>
      </c>
      <c r="P51" s="64">
        <f>R51/P29</f>
        <v>8.024803939449207</v>
      </c>
      <c r="Q51" s="9">
        <f>R51/$R$55</f>
        <v>0.611111111111111</v>
      </c>
      <c r="R51" s="46">
        <f>R44+R31</f>
        <v>7333333.333333333</v>
      </c>
    </row>
    <row r="52" spans="2:18" ht="12.75">
      <c r="B52" s="3" t="s">
        <v>13</v>
      </c>
      <c r="G52" s="64">
        <f>I52/G34</f>
        <v>34.65256246580339</v>
      </c>
      <c r="H52" s="9">
        <f>I52/$I$55</f>
        <v>0.14438567694084747</v>
      </c>
      <c r="I52" s="46">
        <f>I45+I36</f>
        <v>14438567.694084747</v>
      </c>
      <c r="P52" s="64">
        <f>R52/P34</f>
        <v>2.5533467080065657</v>
      </c>
      <c r="Q52" s="9">
        <f>R52/$R$55</f>
        <v>0.08865787180578354</v>
      </c>
      <c r="R52" s="46">
        <f>R45+R36</f>
        <v>1063894.4616694024</v>
      </c>
    </row>
    <row r="53" spans="2:18" ht="12.75">
      <c r="B53" s="3" t="s">
        <v>1</v>
      </c>
      <c r="G53" s="65">
        <f>I53/G46</f>
        <v>34.65256246580339</v>
      </c>
      <c r="H53" s="9">
        <f>I53/$I$55</f>
        <v>0.34652562465803394</v>
      </c>
      <c r="I53" s="46">
        <f>I46</f>
        <v>34652562.46580339</v>
      </c>
      <c r="K53" s="60"/>
      <c r="P53" s="65">
        <f>R53/P46</f>
        <v>2.5533467080065657</v>
      </c>
      <c r="Q53" s="9">
        <f>R53/$R$55</f>
        <v>0.2127788923338805</v>
      </c>
      <c r="R53" s="46">
        <f>R46</f>
        <v>2553346.708006566</v>
      </c>
    </row>
    <row r="54" spans="2:18" ht="15.75">
      <c r="B54" s="3" t="s">
        <v>4</v>
      </c>
      <c r="G54" s="65">
        <f>I54/G47</f>
        <v>34.65256246580339</v>
      </c>
      <c r="H54" s="50">
        <f>I54/$I$55</f>
        <v>0.14242203173445192</v>
      </c>
      <c r="I54" s="55">
        <f>I47</f>
        <v>14242203.173445193</v>
      </c>
      <c r="K54" s="60"/>
      <c r="P54" s="65">
        <f>R54/P47</f>
        <v>2.5533467080065653</v>
      </c>
      <c r="Q54" s="50">
        <f>R54/$R$55</f>
        <v>0.08745212474922487</v>
      </c>
      <c r="R54" s="55">
        <f>R47</f>
        <v>1049425.4969906984</v>
      </c>
    </row>
    <row r="55" spans="2:18" ht="12.75">
      <c r="B55" s="3" t="s">
        <v>0</v>
      </c>
      <c r="H55" s="26">
        <f>SUM(H51:H54)</f>
        <v>0.9999999999999999</v>
      </c>
      <c r="I55" s="63">
        <f>SUM(I51:I54)</f>
        <v>100000000</v>
      </c>
      <c r="Q55" s="26">
        <f>SUM(Q51:Q54)</f>
        <v>1</v>
      </c>
      <c r="R55" s="63">
        <f>SUM(R51:R54)</f>
        <v>12000000</v>
      </c>
    </row>
    <row r="56" spans="8:18" ht="12.75">
      <c r="H56" s="26"/>
      <c r="I56" s="63"/>
      <c r="Q56" s="26"/>
      <c r="R56" s="63"/>
    </row>
    <row r="57" spans="2:18" ht="12.75">
      <c r="B57" s="3" t="s">
        <v>30</v>
      </c>
      <c r="H57" s="26"/>
      <c r="I57" s="63"/>
      <c r="Q57" s="26"/>
      <c r="R57" s="63"/>
    </row>
    <row r="58" spans="2:18" ht="12.75">
      <c r="B58" s="3" t="s">
        <v>52</v>
      </c>
      <c r="H58" s="26"/>
      <c r="I58" s="63">
        <f>I59-T18</f>
        <v>8636363.636363637</v>
      </c>
      <c r="Q58" s="26"/>
      <c r="R58" s="63"/>
    </row>
    <row r="59" spans="2:18" ht="12.75">
      <c r="B59" s="3" t="s">
        <v>53</v>
      </c>
      <c r="H59" s="26"/>
      <c r="I59" s="63">
        <f>T18/H51</f>
        <v>13636363.636363637</v>
      </c>
      <c r="Q59" s="26"/>
      <c r="R59" s="63"/>
    </row>
    <row r="61" ht="12.75">
      <c r="B61" s="8" t="s">
        <v>42</v>
      </c>
    </row>
    <row r="62" spans="2:18" ht="12.75">
      <c r="B62" s="3" t="s">
        <v>30</v>
      </c>
      <c r="I62" s="62">
        <f>I51/T14</f>
        <v>7.333333333333333</v>
      </c>
      <c r="R62" s="62">
        <f>R51/T14</f>
        <v>1.4666666666666666</v>
      </c>
    </row>
    <row r="63" spans="2:18" ht="12.75">
      <c r="B63" s="3" t="s">
        <v>13</v>
      </c>
      <c r="I63" s="62">
        <f>I52/K14</f>
        <v>14.438567694084746</v>
      </c>
      <c r="R63" s="62">
        <f>R52/K14</f>
        <v>1.0638944616694024</v>
      </c>
    </row>
    <row r="64" spans="9:18" ht="12.75">
      <c r="I64" s="62"/>
      <c r="R64" s="62"/>
    </row>
    <row r="66" spans="2:18" ht="12.75">
      <c r="B66" s="102" t="s">
        <v>46</v>
      </c>
      <c r="C66" s="102"/>
      <c r="D66" s="102"/>
      <c r="E66" s="102"/>
      <c r="F66" s="103"/>
      <c r="G66" s="102"/>
      <c r="H66" s="102"/>
      <c r="I66" s="102"/>
      <c r="J66" s="103"/>
      <c r="K66" s="102"/>
      <c r="L66" s="102"/>
      <c r="M66" s="102"/>
      <c r="N66" s="102"/>
      <c r="O66" s="103"/>
      <c r="P66" s="102"/>
      <c r="Q66" s="102"/>
      <c r="R66" s="102"/>
    </row>
    <row r="67" spans="2:18" ht="12.75">
      <c r="B67" s="102" t="s">
        <v>30</v>
      </c>
      <c r="C67" s="102"/>
      <c r="D67" s="102"/>
      <c r="E67" s="102"/>
      <c r="F67" s="103"/>
      <c r="G67" s="102"/>
      <c r="H67" s="102"/>
      <c r="I67" s="104" t="str">
        <f>IF(G51&gt;=E31,"OK","Check Preference")</f>
        <v>OK</v>
      </c>
      <c r="J67" s="105"/>
      <c r="K67" s="104"/>
      <c r="L67" s="104"/>
      <c r="M67" s="104"/>
      <c r="N67" s="104"/>
      <c r="O67" s="105"/>
      <c r="P67" s="104"/>
      <c r="Q67" s="104"/>
      <c r="R67" s="104" t="str">
        <f>IF(P51&gt;=N31,"OK","Check Preference")</f>
        <v>OK</v>
      </c>
    </row>
    <row r="68" spans="2:18" ht="12.75">
      <c r="B68" s="102" t="s">
        <v>13</v>
      </c>
      <c r="C68" s="102"/>
      <c r="D68" s="102"/>
      <c r="E68" s="102"/>
      <c r="F68" s="103"/>
      <c r="G68" s="102"/>
      <c r="H68" s="102"/>
      <c r="I68" s="104" t="str">
        <f>IF(G52&gt;=E36,"OK","Check Preference")</f>
        <v>OK</v>
      </c>
      <c r="J68" s="105"/>
      <c r="K68" s="104"/>
      <c r="L68" s="104"/>
      <c r="M68" s="104"/>
      <c r="N68" s="104"/>
      <c r="O68" s="105"/>
      <c r="P68" s="104"/>
      <c r="Q68" s="104"/>
      <c r="R68" s="104" t="str">
        <f>IF(P52&gt;=N36,"OK","Check Conversion")</f>
        <v>OK</v>
      </c>
    </row>
  </sheetData>
  <sheetProtection/>
  <printOptions/>
  <pageMargins left="0.5" right="0.5" top="0.5" bottom="0.5" header="0.5" footer="0.5"/>
  <pageSetup fitToHeight="1" fitToWidth="1" horizontalDpi="600" verticalDpi="600" orientation="landscape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GRP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Hwang</dc:creator>
  <cp:keywords/>
  <dc:description/>
  <cp:lastModifiedBy>Jennifer Jordan</cp:lastModifiedBy>
  <cp:lastPrinted>2009-05-12T22:27:21Z</cp:lastPrinted>
  <dcterms:created xsi:type="dcterms:W3CDTF">2004-10-20T23:07:32Z</dcterms:created>
  <dcterms:modified xsi:type="dcterms:W3CDTF">2012-07-18T13:58:05Z</dcterms:modified>
  <cp:category/>
  <cp:version/>
  <cp:contentType/>
  <cp:contentStatus/>
</cp:coreProperties>
</file>